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15" windowWidth="18060" windowHeight="12975"/>
  </bookViews>
  <sheets>
    <sheet name="КП 27" sheetId="13" r:id="rId1"/>
    <sheet name="Расчет" sheetId="12" r:id="rId2"/>
  </sheets>
  <definedNames>
    <definedName name="_xlnm._FilterDatabase" localSheetId="0" hidden="1">'КП 27'!$A$30:$H$115</definedName>
    <definedName name="_xlnm.Print_Titles" localSheetId="0">'КП 27'!$11:$14</definedName>
    <definedName name="_xlnm.Print_Area" localSheetId="0">'КП 27'!$A$1:$H$445</definedName>
  </definedNames>
  <calcPr calcId="145621" fullPrecision="0"/>
</workbook>
</file>

<file path=xl/calcChain.xml><?xml version="1.0" encoding="utf-8"?>
<calcChain xmlns="http://schemas.openxmlformats.org/spreadsheetml/2006/main">
  <c r="L448" i="13" l="1"/>
  <c r="M448" i="13"/>
  <c r="N448" i="13"/>
  <c r="K448" i="13"/>
  <c r="M447" i="13" l="1"/>
  <c r="L447" i="13"/>
  <c r="N447" i="13" s="1"/>
  <c r="K447" i="13"/>
  <c r="M446" i="13"/>
  <c r="L446" i="13"/>
  <c r="N446" i="13" s="1"/>
  <c r="K446" i="13"/>
  <c r="M445" i="13"/>
  <c r="L445" i="13"/>
  <c r="N445" i="13" s="1"/>
  <c r="K445" i="13"/>
  <c r="M444" i="13"/>
  <c r="L444" i="13"/>
  <c r="N444" i="13" s="1"/>
  <c r="K444" i="13"/>
  <c r="M443" i="13"/>
  <c r="L443" i="13"/>
  <c r="N443" i="13" s="1"/>
  <c r="K443" i="13"/>
  <c r="M442" i="13"/>
  <c r="L442" i="13"/>
  <c r="N442" i="13" s="1"/>
  <c r="K442" i="13"/>
  <c r="M441" i="13"/>
  <c r="L441" i="13"/>
  <c r="N441" i="13" s="1"/>
  <c r="K441" i="13"/>
  <c r="M430" i="13"/>
  <c r="L430" i="13"/>
  <c r="N430" i="13" s="1"/>
  <c r="K430" i="13"/>
  <c r="M428" i="13"/>
  <c r="L428" i="13"/>
  <c r="K428" i="13"/>
  <c r="M426" i="13"/>
  <c r="L426" i="13"/>
  <c r="N426" i="13" s="1"/>
  <c r="K426" i="13"/>
  <c r="M424" i="13"/>
  <c r="L424" i="13"/>
  <c r="K424" i="13"/>
  <c r="M422" i="13"/>
  <c r="L422" i="13"/>
  <c r="N422" i="13" s="1"/>
  <c r="K422" i="13"/>
  <c r="M420" i="13"/>
  <c r="L420" i="13"/>
  <c r="K420" i="13"/>
  <c r="M413" i="13"/>
  <c r="L413" i="13"/>
  <c r="N413" i="13" s="1"/>
  <c r="K413" i="13"/>
  <c r="M408" i="13"/>
  <c r="L408" i="13"/>
  <c r="N408" i="13" s="1"/>
  <c r="K408" i="13"/>
  <c r="M404" i="13"/>
  <c r="L404" i="13"/>
  <c r="K404" i="13"/>
  <c r="M398" i="13"/>
  <c r="L398" i="13"/>
  <c r="N398" i="13" s="1"/>
  <c r="K398" i="13"/>
  <c r="M393" i="13"/>
  <c r="L393" i="13"/>
  <c r="K393" i="13"/>
  <c r="M387" i="13"/>
  <c r="L387" i="13"/>
  <c r="N387" i="13" s="1"/>
  <c r="K387" i="13"/>
  <c r="M382" i="13"/>
  <c r="L382" i="13"/>
  <c r="K382" i="13"/>
  <c r="M377" i="13"/>
  <c r="L377" i="13"/>
  <c r="N377" i="13" s="1"/>
  <c r="K377" i="13"/>
  <c r="M372" i="13"/>
  <c r="L372" i="13"/>
  <c r="K372" i="13"/>
  <c r="M367" i="13"/>
  <c r="L367" i="13"/>
  <c r="N367" i="13" s="1"/>
  <c r="K367" i="13"/>
  <c r="M362" i="13"/>
  <c r="L362" i="13"/>
  <c r="K362" i="13"/>
  <c r="M355" i="13"/>
  <c r="L355" i="13"/>
  <c r="N355" i="13" s="1"/>
  <c r="K355" i="13"/>
  <c r="M347" i="13"/>
  <c r="L347" i="13"/>
  <c r="K347" i="13"/>
  <c r="M345" i="13"/>
  <c r="L345" i="13"/>
  <c r="N345" i="13" s="1"/>
  <c r="K345" i="13"/>
  <c r="M342" i="13"/>
  <c r="L342" i="13"/>
  <c r="K342" i="13"/>
  <c r="M338" i="13"/>
  <c r="L338" i="13"/>
  <c r="N338" i="13" s="1"/>
  <c r="K338" i="13"/>
  <c r="M336" i="13"/>
  <c r="L336" i="13"/>
  <c r="K336" i="13"/>
  <c r="M333" i="13"/>
  <c r="L333" i="13"/>
  <c r="N333" i="13" s="1"/>
  <c r="K333" i="13"/>
  <c r="M328" i="13"/>
  <c r="L328" i="13"/>
  <c r="K328" i="13"/>
  <c r="M326" i="13"/>
  <c r="L326" i="13"/>
  <c r="N326" i="13" s="1"/>
  <c r="K326" i="13"/>
  <c r="M319" i="13"/>
  <c r="L319" i="13"/>
  <c r="K319" i="13"/>
  <c r="M313" i="13"/>
  <c r="L313" i="13"/>
  <c r="N313" i="13" s="1"/>
  <c r="K313" i="13"/>
  <c r="M311" i="13"/>
  <c r="L311" i="13"/>
  <c r="K311" i="13"/>
  <c r="M309" i="13"/>
  <c r="L309" i="13"/>
  <c r="N309" i="13" s="1"/>
  <c r="K309" i="13"/>
  <c r="M306" i="13"/>
  <c r="L306" i="13"/>
  <c r="K306" i="13"/>
  <c r="M304" i="13"/>
  <c r="L304" i="13"/>
  <c r="N304" i="13" s="1"/>
  <c r="K304" i="13"/>
  <c r="M302" i="13"/>
  <c r="L302" i="13"/>
  <c r="N302" i="13" s="1"/>
  <c r="K302" i="13"/>
  <c r="M299" i="13"/>
  <c r="L299" i="13"/>
  <c r="K299" i="13"/>
  <c r="M292" i="13"/>
  <c r="L292" i="13"/>
  <c r="N292" i="13" s="1"/>
  <c r="K292" i="13"/>
  <c r="M289" i="13"/>
  <c r="L289" i="13"/>
  <c r="K289" i="13"/>
  <c r="M286" i="13"/>
  <c r="L286" i="13"/>
  <c r="N286" i="13" s="1"/>
  <c r="K286" i="13"/>
  <c r="M283" i="13"/>
  <c r="L283" i="13"/>
  <c r="K283" i="13"/>
  <c r="M277" i="13"/>
  <c r="L277" i="13"/>
  <c r="N277" i="13" s="1"/>
  <c r="K277" i="13"/>
  <c r="M270" i="13"/>
  <c r="L270" i="13"/>
  <c r="K270" i="13"/>
  <c r="M264" i="13"/>
  <c r="L264" i="13"/>
  <c r="N264" i="13" s="1"/>
  <c r="K264" i="13"/>
  <c r="M262" i="13"/>
  <c r="L262" i="13"/>
  <c r="K262" i="13"/>
  <c r="M259" i="13"/>
  <c r="L259" i="13"/>
  <c r="N259" i="13" s="1"/>
  <c r="K259" i="13"/>
  <c r="M257" i="13"/>
  <c r="L257" i="13"/>
  <c r="K257" i="13"/>
  <c r="M255" i="13"/>
  <c r="L255" i="13"/>
  <c r="N255" i="13" s="1"/>
  <c r="K255" i="13"/>
  <c r="M252" i="13"/>
  <c r="L252" i="13"/>
  <c r="K252" i="13"/>
  <c r="M248" i="13"/>
  <c r="L248" i="13"/>
  <c r="N248" i="13" s="1"/>
  <c r="K248" i="13"/>
  <c r="M244" i="13"/>
  <c r="L244" i="13"/>
  <c r="K244" i="13"/>
  <c r="M238" i="13"/>
  <c r="L238" i="13"/>
  <c r="N238" i="13" s="1"/>
  <c r="K238" i="13"/>
  <c r="M232" i="13"/>
  <c r="L232" i="13"/>
  <c r="K232" i="13"/>
  <c r="M228" i="13"/>
  <c r="L228" i="13"/>
  <c r="N228" i="13" s="1"/>
  <c r="K228" i="13"/>
  <c r="M222" i="13"/>
  <c r="L222" i="13"/>
  <c r="K222" i="13"/>
  <c r="M219" i="13"/>
  <c r="L219" i="13"/>
  <c r="N219" i="13" s="1"/>
  <c r="K219" i="13"/>
  <c r="M215" i="13"/>
  <c r="L215" i="13"/>
  <c r="K215" i="13"/>
  <c r="M213" i="13"/>
  <c r="L213" i="13"/>
  <c r="N213" i="13" s="1"/>
  <c r="K213" i="13"/>
  <c r="M208" i="13"/>
  <c r="L208" i="13"/>
  <c r="K208" i="13"/>
  <c r="M205" i="13"/>
  <c r="L205" i="13"/>
  <c r="N205" i="13" s="1"/>
  <c r="K205" i="13"/>
  <c r="M203" i="13"/>
  <c r="L203" i="13"/>
  <c r="K203" i="13"/>
  <c r="M198" i="13"/>
  <c r="L198" i="13"/>
  <c r="N198" i="13" s="1"/>
  <c r="K198" i="13"/>
  <c r="M195" i="13"/>
  <c r="L195" i="13"/>
  <c r="K195" i="13"/>
  <c r="M192" i="13"/>
  <c r="L192" i="13"/>
  <c r="N192" i="13" s="1"/>
  <c r="K192" i="13"/>
  <c r="M187" i="13"/>
  <c r="L187" i="13"/>
  <c r="K187" i="13"/>
  <c r="M185" i="13"/>
  <c r="L185" i="13"/>
  <c r="N185" i="13" s="1"/>
  <c r="K185" i="13"/>
  <c r="M178" i="13"/>
  <c r="L178" i="13"/>
  <c r="K178" i="13"/>
  <c r="M172" i="13"/>
  <c r="L172" i="13"/>
  <c r="N172" i="13" s="1"/>
  <c r="K172" i="13"/>
  <c r="M168" i="13"/>
  <c r="L168" i="13"/>
  <c r="K168" i="13"/>
  <c r="M165" i="13"/>
  <c r="L165" i="13"/>
  <c r="N165" i="13" s="1"/>
  <c r="K165" i="13"/>
  <c r="M163" i="13"/>
  <c r="L163" i="13"/>
  <c r="K163" i="13"/>
  <c r="M161" i="13"/>
  <c r="L161" i="13"/>
  <c r="N161" i="13" s="1"/>
  <c r="K161" i="13"/>
  <c r="M158" i="13"/>
  <c r="L158" i="13"/>
  <c r="K158" i="13"/>
  <c r="M151" i="13"/>
  <c r="L151" i="13"/>
  <c r="N151" i="13" s="1"/>
  <c r="K151" i="13"/>
  <c r="M148" i="13"/>
  <c r="L148" i="13"/>
  <c r="N148" i="13" s="1"/>
  <c r="K148" i="13"/>
  <c r="M145" i="13"/>
  <c r="L145" i="13"/>
  <c r="K145" i="13"/>
  <c r="M142" i="13"/>
  <c r="L142" i="13"/>
  <c r="N142" i="13" s="1"/>
  <c r="K142" i="13"/>
  <c r="M136" i="13"/>
  <c r="L136" i="13"/>
  <c r="K136" i="13"/>
  <c r="M129" i="13"/>
  <c r="L129" i="13"/>
  <c r="N129" i="13" s="1"/>
  <c r="K129" i="13"/>
  <c r="M123" i="13"/>
  <c r="L123" i="13"/>
  <c r="K123" i="13"/>
  <c r="M117" i="13"/>
  <c r="L117" i="13"/>
  <c r="N117" i="13" s="1"/>
  <c r="K117" i="13"/>
  <c r="M115" i="13"/>
  <c r="L115" i="13"/>
  <c r="K115" i="13"/>
  <c r="M112" i="13"/>
  <c r="L112" i="13"/>
  <c r="N112" i="13" s="1"/>
  <c r="K112" i="13"/>
  <c r="M110" i="13"/>
  <c r="L110" i="13"/>
  <c r="K110" i="13"/>
  <c r="M108" i="13"/>
  <c r="L108" i="13"/>
  <c r="N108" i="13" s="1"/>
  <c r="K108" i="13"/>
  <c r="M105" i="13"/>
  <c r="L105" i="13"/>
  <c r="K105" i="13"/>
  <c r="M101" i="13"/>
  <c r="L101" i="13"/>
  <c r="N101" i="13" s="1"/>
  <c r="K101" i="13"/>
  <c r="M97" i="13"/>
  <c r="L97" i="13"/>
  <c r="K97" i="13"/>
  <c r="M93" i="13"/>
  <c r="L93" i="13"/>
  <c r="N93" i="13" s="1"/>
  <c r="K93" i="13"/>
  <c r="M87" i="13"/>
  <c r="L87" i="13"/>
  <c r="K87" i="13"/>
  <c r="M84" i="13"/>
  <c r="L84" i="13"/>
  <c r="N84" i="13" s="1"/>
  <c r="K84" i="13"/>
  <c r="M81" i="13"/>
  <c r="L81" i="13"/>
  <c r="K81" i="13"/>
  <c r="M75" i="13"/>
  <c r="L75" i="13"/>
  <c r="N75" i="13" s="1"/>
  <c r="K75" i="13"/>
  <c r="M69" i="13"/>
  <c r="L69" i="13"/>
  <c r="K69" i="13"/>
  <c r="M67" i="13"/>
  <c r="L67" i="13"/>
  <c r="N67" i="13" s="1"/>
  <c r="K67" i="13"/>
  <c r="M65" i="13"/>
  <c r="L65" i="13"/>
  <c r="K65" i="13"/>
  <c r="M63" i="13"/>
  <c r="L63" i="13"/>
  <c r="N63" i="13" s="1"/>
  <c r="K63" i="13"/>
  <c r="M60" i="13"/>
  <c r="L60" i="13"/>
  <c r="K60" i="13"/>
  <c r="M56" i="13"/>
  <c r="L56" i="13"/>
  <c r="N56" i="13" s="1"/>
  <c r="K56" i="13"/>
  <c r="M53" i="13"/>
  <c r="L53" i="13"/>
  <c r="K53" i="13"/>
  <c r="M50" i="13"/>
  <c r="L50" i="13"/>
  <c r="N50" i="13" s="1"/>
  <c r="K50" i="13"/>
  <c r="M46" i="13"/>
  <c r="L46" i="13"/>
  <c r="K46" i="13"/>
  <c r="M40" i="13"/>
  <c r="L40" i="13"/>
  <c r="N40" i="13" s="1"/>
  <c r="K40" i="13"/>
  <c r="M34" i="13"/>
  <c r="L34" i="13"/>
  <c r="K34" i="13"/>
  <c r="K30" i="13"/>
  <c r="N34" i="13" l="1"/>
  <c r="N46" i="13"/>
  <c r="N53" i="13"/>
  <c r="N60" i="13"/>
  <c r="N65" i="13"/>
  <c r="N69" i="13"/>
  <c r="N81" i="13"/>
  <c r="N87" i="13"/>
  <c r="N97" i="13"/>
  <c r="N105" i="13"/>
  <c r="N110" i="13"/>
  <c r="N115" i="13"/>
  <c r="N123" i="13"/>
  <c r="N136" i="13"/>
  <c r="N145" i="13"/>
  <c r="N158" i="13"/>
  <c r="N163" i="13"/>
  <c r="N168" i="13"/>
  <c r="N178" i="13"/>
  <c r="N187" i="13"/>
  <c r="N195" i="13"/>
  <c r="N203" i="13"/>
  <c r="N208" i="13"/>
  <c r="N215" i="13"/>
  <c r="N222" i="13"/>
  <c r="N232" i="13"/>
  <c r="N244" i="13"/>
  <c r="N252" i="13"/>
  <c r="N257" i="13"/>
  <c r="N262" i="13"/>
  <c r="N270" i="13"/>
  <c r="N283" i="13"/>
  <c r="N289" i="13"/>
  <c r="N299" i="13"/>
  <c r="N306" i="13"/>
  <c r="N311" i="13"/>
  <c r="N319" i="13"/>
  <c r="N328" i="13"/>
  <c r="N336" i="13"/>
  <c r="N342" i="13"/>
  <c r="N347" i="13"/>
  <c r="N362" i="13"/>
  <c r="N372" i="13"/>
  <c r="N382" i="13"/>
  <c r="N393" i="13"/>
  <c r="N404" i="13"/>
  <c r="N420" i="13"/>
  <c r="N424" i="13"/>
  <c r="N428" i="13"/>
  <c r="M19" i="13"/>
  <c r="L19" i="13"/>
  <c r="K19" i="13"/>
  <c r="N19" i="13" l="1"/>
  <c r="AA9" i="12" l="1"/>
  <c r="AA5" i="12"/>
  <c r="L37" i="12"/>
  <c r="G30" i="13" l="1"/>
  <c r="F30" i="13"/>
  <c r="H30" i="13" l="1"/>
  <c r="M30" i="13" l="1"/>
  <c r="L30" i="13"/>
  <c r="N30" i="13" s="1"/>
  <c r="AF72" i="12"/>
  <c r="AF85" i="12"/>
  <c r="AF71" i="12"/>
  <c r="AL79" i="12"/>
  <c r="AF83" i="12"/>
  <c r="AF81" i="12"/>
  <c r="AF78" i="12"/>
  <c r="AI83" i="12"/>
  <c r="AG81" i="12"/>
  <c r="AI81" i="12"/>
  <c r="AF79" i="12"/>
  <c r="AI78" i="12"/>
  <c r="AF53" i="12"/>
  <c r="AF55" i="12"/>
  <c r="AG53" i="12"/>
  <c r="AI50" i="12"/>
  <c r="AF50" i="12"/>
  <c r="AL65" i="12"/>
  <c r="AI64" i="12"/>
  <c r="AJ37" i="12"/>
  <c r="AF67" i="12"/>
  <c r="AF39" i="12"/>
  <c r="AJ79" i="12"/>
  <c r="AJ51" i="12"/>
  <c r="AI69" i="12"/>
  <c r="AF69" i="12"/>
  <c r="AG67" i="12"/>
  <c r="AI67" i="12"/>
  <c r="AF65" i="12"/>
  <c r="AF64" i="12"/>
  <c r="AI55" i="12"/>
  <c r="AF51" i="12"/>
  <c r="AF41" i="12"/>
  <c r="AF37" i="12"/>
  <c r="AF36" i="12"/>
  <c r="AG39" i="12"/>
  <c r="AI41" i="12"/>
  <c r="AL64" i="12"/>
  <c r="AJ50" i="12"/>
  <c r="AJ49" i="12"/>
  <c r="W41" i="12"/>
  <c r="W69" i="12"/>
  <c r="V69" i="12"/>
  <c r="Y69" i="12" s="1"/>
  <c r="Y67" i="12"/>
  <c r="V77" i="12"/>
  <c r="W83" i="12"/>
  <c r="Y81" i="12"/>
  <c r="V63" i="12"/>
  <c r="W55" i="12"/>
  <c r="V49" i="12"/>
  <c r="Y53" i="12"/>
  <c r="Y41" i="12"/>
  <c r="V35" i="12"/>
  <c r="Y39" i="12"/>
  <c r="AI53" i="12" l="1"/>
  <c r="AI39" i="12"/>
  <c r="AI36" i="12"/>
  <c r="G73" i="12" l="1"/>
  <c r="G69" i="12"/>
  <c r="H69" i="12"/>
  <c r="G63" i="12"/>
  <c r="G77" i="12"/>
  <c r="G87" i="12"/>
  <c r="J87" i="12" s="1"/>
  <c r="J85" i="12"/>
  <c r="H83" i="12"/>
  <c r="J73" i="12"/>
  <c r="J71" i="12"/>
  <c r="E81" i="12"/>
  <c r="C81" i="12"/>
  <c r="B83" i="12"/>
  <c r="B81" i="12"/>
  <c r="B67" i="12"/>
  <c r="B63" i="12"/>
  <c r="B77" i="12"/>
  <c r="E83" i="12"/>
  <c r="B69" i="12"/>
  <c r="E69" i="12" s="1"/>
  <c r="C67" i="12"/>
  <c r="J59" i="12"/>
  <c r="J57" i="12"/>
  <c r="J55" i="12"/>
  <c r="G55" i="12"/>
  <c r="G59" i="12"/>
  <c r="B55" i="12"/>
  <c r="B53" i="12"/>
  <c r="C53" i="12"/>
  <c r="H55" i="12"/>
  <c r="G49" i="12"/>
  <c r="B49" i="12"/>
  <c r="E55" i="12"/>
  <c r="G41" i="12"/>
  <c r="G35" i="12"/>
  <c r="H41" i="12"/>
  <c r="J45" i="12"/>
  <c r="G45" i="12"/>
  <c r="J43" i="12"/>
  <c r="B39" i="12"/>
  <c r="C39" i="12"/>
  <c r="B35" i="12"/>
  <c r="E41" i="12"/>
  <c r="B41" i="12"/>
  <c r="AO21" i="12" l="1"/>
  <c r="BI4" i="12"/>
  <c r="AW25" i="12"/>
  <c r="AW24" i="12"/>
  <c r="AW22" i="12"/>
  <c r="AW21" i="12"/>
  <c r="BE9" i="12"/>
  <c r="AK27" i="12" l="1"/>
  <c r="AK25" i="12"/>
  <c r="AN25" i="12" s="1"/>
  <c r="AN22" i="12"/>
  <c r="AK23" i="12"/>
  <c r="AK22" i="12"/>
  <c r="AL25" i="12"/>
  <c r="AN27" i="12"/>
  <c r="AO22" i="12"/>
  <c r="BH21" i="12"/>
  <c r="BH19" i="12"/>
  <c r="BH16" i="12"/>
  <c r="BE19" i="12"/>
  <c r="BE21" i="12"/>
  <c r="BF19" i="12"/>
  <c r="BE17" i="12"/>
  <c r="BE16" i="12"/>
  <c r="BE4" i="12"/>
  <c r="BA10" i="12"/>
  <c r="BC10" i="12" s="1"/>
  <c r="AA27" i="12"/>
  <c r="AB27" i="12"/>
  <c r="AA21" i="12"/>
  <c r="AD25" i="12"/>
  <c r="BC8" i="12"/>
  <c r="AZ10" i="12"/>
  <c r="AZ4" i="12"/>
  <c r="AG10" i="12" l="1"/>
  <c r="AI8" i="12"/>
  <c r="AI13" i="12"/>
  <c r="AI10" i="12"/>
  <c r="AF10" i="12"/>
  <c r="AF13" i="12"/>
  <c r="AF4" i="12"/>
  <c r="B21" i="12"/>
  <c r="B25" i="12" s="1"/>
  <c r="E25" i="12" s="1"/>
  <c r="G21" i="12"/>
  <c r="J28" i="12"/>
  <c r="H26" i="12"/>
  <c r="H28" i="12"/>
  <c r="E27" i="12"/>
  <c r="C25" i="12"/>
  <c r="B27" i="12"/>
  <c r="L12" i="12" l="1"/>
  <c r="M12" i="12"/>
  <c r="O12" i="12"/>
  <c r="O4" i="12"/>
  <c r="O17" i="12"/>
  <c r="O14" i="12"/>
  <c r="L4" i="12"/>
  <c r="L14" i="12"/>
  <c r="L15" i="12"/>
  <c r="L17" i="12"/>
  <c r="J11" i="12"/>
  <c r="G9" i="12"/>
  <c r="B4" i="12"/>
  <c r="G4" i="12"/>
  <c r="H9" i="12"/>
  <c r="B9" i="12"/>
  <c r="B11" i="12"/>
  <c r="E11" i="12" s="1"/>
  <c r="C9" i="12"/>
  <c r="E9" i="12" s="1"/>
  <c r="AA87" i="12"/>
  <c r="AA86" i="12"/>
  <c r="AA85" i="12"/>
  <c r="AA84" i="12"/>
  <c r="AA83" i="12"/>
  <c r="AA82" i="12"/>
  <c r="AA81" i="12"/>
  <c r="G81" i="12"/>
  <c r="AA80" i="12"/>
  <c r="Q80" i="12"/>
  <c r="T80" i="12" s="1"/>
  <c r="G80" i="12"/>
  <c r="AA79" i="12"/>
  <c r="V79" i="12"/>
  <c r="L79" i="12"/>
  <c r="G79" i="12"/>
  <c r="B79" i="12"/>
  <c r="AA78" i="12"/>
  <c r="V78" i="12"/>
  <c r="Q78" i="12"/>
  <c r="L78" i="12"/>
  <c r="G78" i="12"/>
  <c r="B78" i="12"/>
  <c r="AA77" i="12"/>
  <c r="AD77" i="12" s="1"/>
  <c r="Q77" i="12"/>
  <c r="T77" i="12" s="1"/>
  <c r="L77" i="12"/>
  <c r="O77" i="12" s="1"/>
  <c r="AA73" i="12"/>
  <c r="AA72" i="12"/>
  <c r="AA71" i="12"/>
  <c r="AA70" i="12"/>
  <c r="AA69" i="12"/>
  <c r="AA68" i="12"/>
  <c r="AA67" i="12"/>
  <c r="G67" i="12"/>
  <c r="AA66" i="12"/>
  <c r="Q66" i="12"/>
  <c r="T66" i="12" s="1"/>
  <c r="G66" i="12"/>
  <c r="AA65" i="12"/>
  <c r="V65" i="12"/>
  <c r="L65" i="12"/>
  <c r="G65" i="12"/>
  <c r="B65" i="12"/>
  <c r="AA64" i="12"/>
  <c r="V64" i="12"/>
  <c r="Q64" i="12"/>
  <c r="L64" i="12"/>
  <c r="G64" i="12"/>
  <c r="B64" i="12"/>
  <c r="AA63" i="12"/>
  <c r="AD63" i="12" s="1"/>
  <c r="AJ65" i="12" s="1"/>
  <c r="Q63" i="12"/>
  <c r="T63" i="12" s="1"/>
  <c r="L63" i="12"/>
  <c r="O63" i="12" s="1"/>
  <c r="AA59" i="12"/>
  <c r="AA58" i="12"/>
  <c r="AA57" i="12"/>
  <c r="AA56" i="12"/>
  <c r="AA55" i="12"/>
  <c r="AA54" i="12"/>
  <c r="AA53" i="12"/>
  <c r="G53" i="12"/>
  <c r="AA52" i="12"/>
  <c r="G52" i="12"/>
  <c r="AA51" i="12"/>
  <c r="AA49" i="12" s="1"/>
  <c r="AD49" i="12" s="1"/>
  <c r="V51" i="12"/>
  <c r="L51" i="12"/>
  <c r="G51" i="12"/>
  <c r="B51" i="12"/>
  <c r="AA50" i="12"/>
  <c r="V50" i="12"/>
  <c r="Q50" i="12"/>
  <c r="L50" i="12"/>
  <c r="L49" i="12" s="1"/>
  <c r="O49" i="12" s="1"/>
  <c r="G50" i="12"/>
  <c r="B50" i="12"/>
  <c r="Q49" i="12"/>
  <c r="T49" i="12" s="1"/>
  <c r="AA45" i="12"/>
  <c r="AA44" i="12"/>
  <c r="AA43" i="12"/>
  <c r="AA42" i="12"/>
  <c r="AA41" i="12"/>
  <c r="AA40" i="12"/>
  <c r="AA39" i="12"/>
  <c r="G39" i="12"/>
  <c r="AA38" i="12"/>
  <c r="G38" i="12"/>
  <c r="AA37" i="12"/>
  <c r="AA35" i="12" s="1"/>
  <c r="AD35" i="12" s="1"/>
  <c r="V37" i="12"/>
  <c r="G37" i="12"/>
  <c r="B37" i="12"/>
  <c r="AA36" i="12"/>
  <c r="V36" i="12"/>
  <c r="Q36" i="12"/>
  <c r="L36" i="12"/>
  <c r="L35" i="12" s="1"/>
  <c r="O35" i="12" s="1"/>
  <c r="G36" i="12"/>
  <c r="B36" i="12"/>
  <c r="Q35" i="12"/>
  <c r="T35" i="12" s="1"/>
  <c r="AF31" i="12"/>
  <c r="AF30" i="12"/>
  <c r="AF29" i="12"/>
  <c r="AF28" i="12"/>
  <c r="AF27" i="12"/>
  <c r="AF26" i="12"/>
  <c r="AF25" i="12"/>
  <c r="AF24" i="12"/>
  <c r="G24" i="12"/>
  <c r="AF23" i="12"/>
  <c r="AA23" i="12"/>
  <c r="L23" i="12"/>
  <c r="G23" i="12"/>
  <c r="B23" i="12"/>
  <c r="AF22" i="12"/>
  <c r="AA22" i="12"/>
  <c r="V22" i="12"/>
  <c r="V21" i="12" s="1"/>
  <c r="Y21" i="12" s="1"/>
  <c r="Q22" i="12"/>
  <c r="L22" i="12"/>
  <c r="G22" i="12"/>
  <c r="B22" i="12"/>
  <c r="BE14" i="12"/>
  <c r="Q21" i="12"/>
  <c r="T21" i="12" s="1"/>
  <c r="BE13" i="12"/>
  <c r="BE12" i="12"/>
  <c r="BE11" i="12"/>
  <c r="BE10" i="12"/>
  <c r="L10" i="12"/>
  <c r="L9" i="12"/>
  <c r="BE8" i="12"/>
  <c r="L8" i="12"/>
  <c r="BE7" i="12"/>
  <c r="L7" i="12"/>
  <c r="G7" i="12"/>
  <c r="B7" i="12"/>
  <c r="E4" i="12" s="1"/>
  <c r="BE6" i="12"/>
  <c r="AZ6" i="12"/>
  <c r="BC4" i="12" s="1"/>
  <c r="AF6" i="12"/>
  <c r="V6" i="12"/>
  <c r="V4" i="12" s="1"/>
  <c r="Y4" i="12" s="1"/>
  <c r="L6" i="12"/>
  <c r="G6" i="12"/>
  <c r="B6" i="12"/>
  <c r="BE5" i="12"/>
  <c r="AZ5" i="12"/>
  <c r="AU5" i="12"/>
  <c r="AU4" i="12" s="1"/>
  <c r="AX4" i="12" s="1"/>
  <c r="AP5" i="12"/>
  <c r="AK5" i="12"/>
  <c r="AK4" i="12" s="1"/>
  <c r="AN4" i="12" s="1"/>
  <c r="AF5" i="12"/>
  <c r="AA4" i="12"/>
  <c r="AD4" i="12" s="1"/>
  <c r="V5" i="12"/>
  <c r="Q5" i="12"/>
  <c r="L5" i="12"/>
  <c r="G5" i="12"/>
  <c r="B5" i="12"/>
  <c r="BH4" i="12"/>
  <c r="AP4" i="12"/>
  <c r="AS4" i="12" s="1"/>
  <c r="AI4" i="12"/>
  <c r="Q4" i="12"/>
  <c r="T4" i="12" s="1"/>
  <c r="E77" i="12" l="1"/>
  <c r="E49" i="12"/>
  <c r="E53" i="12"/>
  <c r="E21" i="12"/>
  <c r="L21" i="12"/>
  <c r="O21" i="12" s="1"/>
  <c r="AF21" i="12"/>
  <c r="AI21" i="12" s="1"/>
  <c r="BI5" i="12"/>
  <c r="J9" i="12" l="1"/>
  <c r="J4" i="12"/>
  <c r="G26" i="12"/>
  <c r="J26" i="12" s="1"/>
  <c r="J21" i="12"/>
  <c r="AD21" i="12"/>
  <c r="AD27" i="12"/>
  <c r="E39" i="12"/>
  <c r="E35" i="12"/>
  <c r="J41" i="12"/>
  <c r="J35" i="12"/>
  <c r="AJ35" i="12"/>
  <c r="J49" i="12"/>
  <c r="E67" i="12"/>
  <c r="E63" i="12"/>
  <c r="G83" i="12"/>
  <c r="J83" i="12" s="1"/>
  <c r="J77" i="12"/>
  <c r="AJ77" i="12"/>
  <c r="AL77" i="12" s="1"/>
  <c r="AN77" i="12" s="1"/>
  <c r="J69" i="12"/>
  <c r="J63" i="12"/>
  <c r="AJ63" i="12" s="1"/>
  <c r="AL63" i="12" s="1"/>
  <c r="AN63" i="12" s="1"/>
  <c r="V41" i="12"/>
  <c r="Y35" i="12"/>
  <c r="AJ36" i="12"/>
  <c r="V55" i="12"/>
  <c r="Y55" i="12" s="1"/>
  <c r="Y49" i="12"/>
  <c r="Y63" i="12"/>
  <c r="AJ64" i="12" s="1"/>
  <c r="V83" i="12"/>
  <c r="Y83" i="12" s="1"/>
  <c r="Y77" i="12"/>
  <c r="AJ78" i="12"/>
  <c r="AL78" i="12" s="1"/>
</calcChain>
</file>

<file path=xl/sharedStrings.xml><?xml version="1.0" encoding="utf-8"?>
<sst xmlns="http://schemas.openxmlformats.org/spreadsheetml/2006/main" count="1564" uniqueCount="436">
  <si>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</si>
  <si>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</si>
  <si>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</si>
  <si>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</si>
  <si>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</si>
  <si>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</si>
  <si>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</si>
  <si>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</si>
  <si>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</si>
  <si>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</si>
  <si>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3</t>
  </si>
  <si>
    <t>4</t>
  </si>
  <si>
    <t>5</t>
  </si>
  <si>
    <t>6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</si>
  <si>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</si>
  <si>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</si>
  <si>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</si>
  <si>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</si>
  <si>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</si>
  <si>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Клей для плитки</t>
  </si>
  <si>
    <t>шт</t>
  </si>
  <si>
    <t>л</t>
  </si>
  <si>
    <t>м3</t>
  </si>
  <si>
    <t>Дюбель тарельчатый</t>
  </si>
  <si>
    <t>Rockwool Фасад Баттс, t=100 мм</t>
  </si>
  <si>
    <t>Стены в с/у квартир</t>
  </si>
  <si>
    <t>Стены в квартирах</t>
  </si>
  <si>
    <t>Оклейка стен обоями</t>
  </si>
  <si>
    <t>СТЕНЫ</t>
  </si>
  <si>
    <t>ПОТОЛОК</t>
  </si>
  <si>
    <t xml:space="preserve">Подготовка поверхности под окраску </t>
  </si>
  <si>
    <t>Rockwool Фасад Баттс, t=200 мм</t>
  </si>
  <si>
    <t>Профиль потолочный 60×27</t>
  </si>
  <si>
    <t>Профиль потолочный направляющий 28х27</t>
  </si>
  <si>
    <t>Устройство подшивного потолка из листов ГФЛ с утепл. толщ. 200 мм</t>
  </si>
  <si>
    <t>Устройство подшивного потолка из листов ГФЛ с утепл. толщ. 100 мм</t>
  </si>
  <si>
    <t>Потолки в квартирах</t>
  </si>
  <si>
    <t>2-15 этаж</t>
  </si>
  <si>
    <t>Стены в МОП (коридор, лифтовой холл, тамбур, лестничная клетка)</t>
  </si>
  <si>
    <t>Поставка и монтаж подоконных досок оконных блоков ПВХ в подвале</t>
  </si>
  <si>
    <t>1.1</t>
  </si>
  <si>
    <t>Поставка и монтаж подоконных досок ПД-01 (b=20мм, шириной 240мм, L=1220мм)</t>
  </si>
  <si>
    <t>мп</t>
  </si>
  <si>
    <t>Подоконные доски пластиковые ПД-01(b=20мм, шириной 240мм, L=1220мм)</t>
  </si>
  <si>
    <t>Заглушка торцевая для пластиковых подоконников</t>
  </si>
  <si>
    <t>Пена монтажнаяМакрофлекс Мега65 STD</t>
  </si>
  <si>
    <t>Штукатурка откосов дверных металлических блоков в подвале</t>
  </si>
  <si>
    <t>Поставка и монтаж подоконных досок оконных блоков ПВХ на 1-15 этажах</t>
  </si>
  <si>
    <t>Поставка и монтаж подоконных досок ПД-2 (b=20мм, шириной 400мм, L=1220мм)</t>
  </si>
  <si>
    <t>Подоконные доски пластиковые ПД-2(b=20мм, шириной 400мм, L=1220мм)</t>
  </si>
  <si>
    <t>Пена монтажнаяМакрофлекс Мега65 STD(0,85л)</t>
  </si>
  <si>
    <t>1.2</t>
  </si>
  <si>
    <t>Поставка и монтаж подоконных досок ПД-3 (b=20мм, шириной 400мм, L=1430мм)</t>
  </si>
  <si>
    <t>Подоконные доски пластиковые ПД-3(b=20мм, шириной 400мм, L=1430мм)</t>
  </si>
  <si>
    <t>1.3</t>
  </si>
  <si>
    <t>Поставка и монтаж подоконных досок ПД-4 (b=20мм, шириной 400мм, L=1560мм)</t>
  </si>
  <si>
    <t>Подоконные доски пластиковые ПД-4(b=20мм, шириной 400мм, L=1560мм)</t>
  </si>
  <si>
    <t>1.4</t>
  </si>
  <si>
    <t>Поставка и монтаж подоконных досок ПД-6 (b=20мм, шириной 400мм, L=1820мм)</t>
  </si>
  <si>
    <t>Подоконные доски пластиковые ПД-6(b=20мм, шириной 400мм, L=1820мм)</t>
  </si>
  <si>
    <t>Пена монтажная Макрофлекс Мега65 STD(0,85л)</t>
  </si>
  <si>
    <t>1.5</t>
  </si>
  <si>
    <t>Поставка и монтаж подоконных досок ПД-8 (b=20мм, шириной 400мм, L=560мм)</t>
  </si>
  <si>
    <t>Подоконные доски пластиковые ПД-8(b=20мм, шириной 400мм, L=560мм)</t>
  </si>
  <si>
    <t>1.6</t>
  </si>
  <si>
    <t>Поставка и монтаж подоконных досок ПД-11 (b=20мм, шириной 400мм, L=780мм)</t>
  </si>
  <si>
    <t>Подоконные доски пластиковые ПД-11 (b=20мм, шириной 400мм, L=780мм)</t>
  </si>
  <si>
    <t>Ниже 0.000</t>
  </si>
  <si>
    <t>Выше 0.000 с 1-го по -15-й этажи</t>
  </si>
  <si>
    <t xml:space="preserve">Зашивка стояков ГКЛВ по м/каркасу </t>
  </si>
  <si>
    <t>1 этаж_1 секция</t>
  </si>
  <si>
    <t>МОП (Коридор)</t>
  </si>
  <si>
    <t>МОП (Лифтовой холл)</t>
  </si>
  <si>
    <t>МОП (Вестибюль)</t>
  </si>
  <si>
    <t>МОП ( Колясочная)</t>
  </si>
  <si>
    <t>МОП (Тамбур)</t>
  </si>
  <si>
    <t>МОП (Лестничная клетка)</t>
  </si>
  <si>
    <t>МОП (Помещение консъержа)</t>
  </si>
  <si>
    <t>МОП (Помещение уборочного инвентаря)</t>
  </si>
  <si>
    <t>МОП (с/у консъержа)</t>
  </si>
  <si>
    <t>МОП (Мусоросборная камера)</t>
  </si>
  <si>
    <t>с/у в квартирах</t>
  </si>
  <si>
    <t>Квартиры</t>
  </si>
  <si>
    <t>S проемов, м2</t>
  </si>
  <si>
    <t>L, м</t>
  </si>
  <si>
    <t>Н, м</t>
  </si>
  <si>
    <t>S, м2</t>
  </si>
  <si>
    <t>Проемы</t>
  </si>
  <si>
    <t>Дв.15</t>
  </si>
  <si>
    <t>Дв.7</t>
  </si>
  <si>
    <t>Дв.8</t>
  </si>
  <si>
    <t>Дв.13</t>
  </si>
  <si>
    <t>Дв.5</t>
  </si>
  <si>
    <t>Дв.11</t>
  </si>
  <si>
    <t>Дв.12</t>
  </si>
  <si>
    <t>Дв.2</t>
  </si>
  <si>
    <t>Дв.2к</t>
  </si>
  <si>
    <t>Дв.1к</t>
  </si>
  <si>
    <t>Дв.6</t>
  </si>
  <si>
    <t>ОИ-6</t>
  </si>
  <si>
    <t>Дв. Лифты</t>
  </si>
  <si>
    <t>Дв.3к</t>
  </si>
  <si>
    <t>ОИ-2</t>
  </si>
  <si>
    <t>ОИ-3</t>
  </si>
  <si>
    <t>1 этаж_2 секция</t>
  </si>
  <si>
    <t>Дв.14</t>
  </si>
  <si>
    <t>ОИ-4</t>
  </si>
  <si>
    <t>2 этаж_1 секция</t>
  </si>
  <si>
    <t>Дв.17</t>
  </si>
  <si>
    <t>Дв.19</t>
  </si>
  <si>
    <t>Дв.16</t>
  </si>
  <si>
    <t>ОИ-8</t>
  </si>
  <si>
    <t>БД-2</t>
  </si>
  <si>
    <t>2 этаж_2 секция</t>
  </si>
  <si>
    <t>Дв.21</t>
  </si>
  <si>
    <t>Дв.20</t>
  </si>
  <si>
    <t>* Длина взята меньше с учетом вычета шахт L=1420 и 1840 мм, т.к этот объем учитывается в позиции №7 и 8</t>
  </si>
  <si>
    <t>Дв.5к</t>
  </si>
  <si>
    <t>ОИ-9</t>
  </si>
  <si>
    <t>х13</t>
  </si>
  <si>
    <t>Проем</t>
  </si>
  <si>
    <t>15 этаж_1 секция</t>
  </si>
  <si>
    <t>15 этаж_2 секция</t>
  </si>
  <si>
    <t>Поставка и монтаж подоконных досок ПД-8* (b=20мм, шириной 400мм, L=920мм)</t>
  </si>
  <si>
    <t>Подоконные доски пластиковые ПД-8*(b=20мм, шириной 400мм, L=920мм)</t>
  </si>
  <si>
    <t>Поставка и монтаж подоконных досок ПД-бд2* (b=20мм, шириной 400мм, L=1220мм)</t>
  </si>
  <si>
    <t>Подоконные доски пластиковые ПД-бд2*(b=20мм, шириной 400мм, L=1220мм)</t>
  </si>
  <si>
    <t xml:space="preserve">Поставка и монтаж порога из подоконных досок на балконных дверных блоках ПВХ на 1-15 этажах </t>
  </si>
  <si>
    <t>Грильято яч. 100х100 мм</t>
  </si>
  <si>
    <t>Устройство потолка типа Грильято с яч.100х100 мм (на 15 этаже в коридоре)</t>
  </si>
  <si>
    <t>Входная группа (крыльца)</t>
  </si>
  <si>
    <t>Полимерно-битумная мастика ТЕХНОНИКОЛЬ</t>
  </si>
  <si>
    <t>Установка почтовых ящиков</t>
  </si>
  <si>
    <t>Почтовый ящик</t>
  </si>
  <si>
    <t>Установка домовых знаков, общедомового имущества жилого дома</t>
  </si>
  <si>
    <t>Установка указателя на подъезды "Поэтажное расположение квартир"</t>
  </si>
  <si>
    <t>Табличка из оцинкованного металла</t>
  </si>
  <si>
    <t>Установка номерных указателей квартир</t>
  </si>
  <si>
    <t>Табличка на дверь из ПВХ</t>
  </si>
  <si>
    <t xml:space="preserve">Маркировка этажей (ЛХ и ЛК) </t>
  </si>
  <si>
    <t>Установка знаков МГН</t>
  </si>
  <si>
    <t>Зашивка потолка ГКЛ по м/каркасу  в коридорах торцевых квартирах на 15 этаже</t>
  </si>
  <si>
    <t>Выход на кровлю</t>
  </si>
  <si>
    <t>Дв.24</t>
  </si>
  <si>
    <t>Установка указателя на подъезды "Нумерация подъездов" (металлическая надпись на плитке)</t>
  </si>
  <si>
    <t xml:space="preserve">Высота цифры 250мм, центровка 1,65м от земли
Высота букв 125мм, центровка первой буквы 1,25м от земли
Шрифт Arial (согласовать), цвет RAL9004 (согласовать)
</t>
  </si>
  <si>
    <t>1.1.1</t>
  </si>
  <si>
    <t>1.1.1.1</t>
  </si>
  <si>
    <t>1.1.1.1.1</t>
  </si>
  <si>
    <t>грунтовка под декоративную отделку типа Ceresit СТ 16</t>
  </si>
  <si>
    <r>
      <t xml:space="preserve">Устройство теплоизоляции из минераловатных плит, толщ. 150 мм </t>
    </r>
    <r>
      <rPr>
        <sz val="10"/>
        <rFont val="Times New Roman"/>
        <family val="1"/>
        <charset val="204"/>
      </rPr>
      <t/>
    </r>
  </si>
  <si>
    <t>декоративная штукатурка типа Ceresit СТ 35 (зерно 2,5 мм)</t>
  </si>
  <si>
    <t>1.1.1.1.2</t>
  </si>
  <si>
    <t>Стены в мусоросборной камеры</t>
  </si>
  <si>
    <t>1.1.1.2</t>
  </si>
  <si>
    <r>
      <t xml:space="preserve">Устройство теплоизоляции из минераловатных плит, толщ. 50 мм </t>
    </r>
    <r>
      <rPr>
        <sz val="10"/>
        <rFont val="Times New Roman"/>
        <family val="1"/>
        <charset val="204"/>
      </rPr>
      <t/>
    </r>
  </si>
  <si>
    <t>1.1.1.2.1</t>
  </si>
  <si>
    <t>Устройство тонкого штукатурного фасада типа Ceresit толщ. 6-10 мм (сертификат НГ на систему)</t>
  </si>
  <si>
    <t>1.1.1.2.2</t>
  </si>
  <si>
    <t>1.1.1.2.3</t>
  </si>
  <si>
    <t>1.1.1.3</t>
  </si>
  <si>
    <t>1.1.1.3.1</t>
  </si>
  <si>
    <t>1.1.1.2.4</t>
  </si>
  <si>
    <t>Улучшенная штукатурка поверхности стен из газобетона сухой строительной штукатурной смесью на гипсовом вяжущем толщиной 8 мм с предварительной огрунтовкой стен</t>
  </si>
  <si>
    <t>грунтовка глубокого проникновения</t>
  </si>
  <si>
    <t>1.1.1.3.2</t>
  </si>
  <si>
    <t>сухая строительная штукатурная смесь на гипсовом вяжущем</t>
  </si>
  <si>
    <t>Затирка стен  из перегородочного камня смесью на гипсовой основе толщ. 3 мм</t>
  </si>
  <si>
    <t>Затирка монолитных ж/б стен  смесью на гипсовой основе толщ. 2 мм</t>
  </si>
  <si>
    <t>1.1.1.3.3</t>
  </si>
  <si>
    <t>Покраска стен водоэмульсионной  матовой краской за 2 раза (цвет согласовать с заказчиком)</t>
  </si>
  <si>
    <t>1.1.1.3.4</t>
  </si>
  <si>
    <t>1.1.1.3.5</t>
  </si>
  <si>
    <t>1.1.1.4</t>
  </si>
  <si>
    <t>1.1.1.4.1</t>
  </si>
  <si>
    <t>Улучшенная штукатурка поверхности стен из пергородочного камня сухой строительной штукатурной смесью на цементном вяжущем толщиной 10 мм с предварительной огрунтовкой стен</t>
  </si>
  <si>
    <t>сухая строительная штукатурная смесь на цементном вяжущем</t>
  </si>
  <si>
    <t>1.1.1.4.2</t>
  </si>
  <si>
    <t>Облицовка стен керамической плиткой на клею</t>
  </si>
  <si>
    <t>1.1.1.4.3</t>
  </si>
  <si>
    <t>Стены  лестничной клетки, тамбура</t>
  </si>
  <si>
    <t>1.1.1.5</t>
  </si>
  <si>
    <t>1.1.1.5.1</t>
  </si>
  <si>
    <t>1.1.1.5.2</t>
  </si>
  <si>
    <t>1.1.1.5.3</t>
  </si>
  <si>
    <t>1.1.1.5.4</t>
  </si>
  <si>
    <t>клеящий раствор типа Ceresit CT 190</t>
  </si>
  <si>
    <t>краска  матовая водоэмульсионная</t>
  </si>
  <si>
    <t>краска белая матовая водоэмульсионна</t>
  </si>
  <si>
    <t>керамическая плитка</t>
  </si>
  <si>
    <t>клей для плитки на цементной основе</t>
  </si>
  <si>
    <t>краска фасадная, декоративная, типа Ceresit СТ 54 (2 слоя)(цвет уточнить у Закзчика)</t>
  </si>
  <si>
    <t>1.1.1.5.5</t>
  </si>
  <si>
    <t>1.1.1.5.6</t>
  </si>
  <si>
    <t>Окраска стен декоративной краской "Шагрень".  (RAL согласовывается заказчиком)</t>
  </si>
  <si>
    <t>1.1.1.5.7</t>
  </si>
  <si>
    <t>1.1.1.5.8</t>
  </si>
  <si>
    <t>1.1.2</t>
  </si>
  <si>
    <t>1.1.2.1</t>
  </si>
  <si>
    <t>1.1.2.1.1</t>
  </si>
  <si>
    <t>1.1.2.1.2</t>
  </si>
  <si>
    <t>шпаклевка полимерная для сухих помещений</t>
  </si>
  <si>
    <t>краска декоративная Шагрень фракц.1,5 мм</t>
  </si>
  <si>
    <t xml:space="preserve">лист ГКЛВ 3000х1200х12,5 мм </t>
  </si>
  <si>
    <t>направляющий профиль 50×40</t>
  </si>
  <si>
    <t>стоечный профиль 50×50</t>
  </si>
  <si>
    <t>люк ревизионный пластиковый, накладной  (врезной) 400х400</t>
  </si>
  <si>
    <t>Улучшенная штукатурка поверхности монолитных ж/б стен сухой строительной штукатурной смесью на цементном вяжущем толщиной 10 мм с предварительной огрунтовкой стен</t>
  </si>
  <si>
    <t>1.1.2.1.3</t>
  </si>
  <si>
    <t>раствор типа Ceresit CT 190</t>
  </si>
  <si>
    <t>сетка армирующая, фасадная</t>
  </si>
  <si>
    <t>минераловатные плиты  типа Rockwool Фасад Баттс Д оптима толщ. 50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</si>
  <si>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t>минераловатные плиты  типа Rockwool Фасад Баттс Д оптима толщ. 150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</si>
  <si>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t>1.1.2.1.4</t>
  </si>
  <si>
    <t>1.1.2.1.5</t>
  </si>
  <si>
    <t>1.1.2.2</t>
  </si>
  <si>
    <t>1.1.2.2.1</t>
  </si>
  <si>
    <t>1.1.2.2.2</t>
  </si>
  <si>
    <t>1.1.2.2.3</t>
  </si>
  <si>
    <t>Стены в комнатах, прихожих, кухнях</t>
  </si>
  <si>
    <t>Выравнивание  монолитных ж/б стен смесью на гипсовой основе толщ. 5 мм</t>
  </si>
  <si>
    <t>1.1.2.2.4</t>
  </si>
  <si>
    <t>1.1.2.2.5</t>
  </si>
  <si>
    <t>Подготовка поверхностей под оклейку обоями (толщ. до 1 мм)</t>
  </si>
  <si>
    <t>1.1.2.2.6</t>
  </si>
  <si>
    <t>Обои под окраску</t>
  </si>
  <si>
    <t>1.1.2.2.7</t>
  </si>
  <si>
    <t>Окраска  обоев стен</t>
  </si>
  <si>
    <t>1.1.2.2.8</t>
  </si>
  <si>
    <t>краска  матовая водоэмульсионая (цвет согласовать с Заказчиком)</t>
  </si>
  <si>
    <t>1.2.1</t>
  </si>
  <si>
    <t>1.2.1.1</t>
  </si>
  <si>
    <t>1.2.1.1.1</t>
  </si>
  <si>
    <t xml:space="preserve">сухая шпаклевочная смесь на цементной основе для влажных помещений </t>
  </si>
  <si>
    <t>Подготовка поверхности монолитных ж/б потолков под окраску (толщина слоя - 2 мм)</t>
  </si>
  <si>
    <t>1.2.1.1.2</t>
  </si>
  <si>
    <t>1.2.1.2</t>
  </si>
  <si>
    <t>1.2.1.2.1</t>
  </si>
  <si>
    <t>1.2.1.2.2</t>
  </si>
  <si>
    <t>1.2.1.2.3</t>
  </si>
  <si>
    <t>Потолки  тамбура и мусоросборной камеры</t>
  </si>
  <si>
    <t>1.2.1.3</t>
  </si>
  <si>
    <t>Потолки в вестибюле, колясочной и помещении консъержа</t>
  </si>
  <si>
    <t>1.2.1.3.1</t>
  </si>
  <si>
    <t>1.2.1.3.2</t>
  </si>
  <si>
    <t>1.2.1.3.3</t>
  </si>
  <si>
    <t>1.2.2</t>
  </si>
  <si>
    <t xml:space="preserve">Покраска потолков водоэмульсионной  матовой краской за 2 раза </t>
  </si>
  <si>
    <t>краска  матовая водоэмульсионная водостойкая</t>
  </si>
  <si>
    <t>краска  белая матовая водоэмульсионная водостойкая</t>
  </si>
  <si>
    <t>1.2.2.1.1</t>
  </si>
  <si>
    <t>1.2.2.12</t>
  </si>
  <si>
    <t>1.2.2.2</t>
  </si>
  <si>
    <t>2.1</t>
  </si>
  <si>
    <t>2.1.1</t>
  </si>
  <si>
    <t>2.1.1.1</t>
  </si>
  <si>
    <t>2.1.1.1.1</t>
  </si>
  <si>
    <t>2.1.1.1.2</t>
  </si>
  <si>
    <t>2.1.1.2</t>
  </si>
  <si>
    <t>2.1.2</t>
  </si>
  <si>
    <t>2.1.2.1</t>
  </si>
  <si>
    <t>2.1.2.1.1</t>
  </si>
  <si>
    <t>2.1.2.1.2</t>
  </si>
  <si>
    <t>2.1.2.1.3</t>
  </si>
  <si>
    <t>2.1.2.1.4</t>
  </si>
  <si>
    <t>2.1.2.1.5</t>
  </si>
  <si>
    <t>2.1.2.2</t>
  </si>
  <si>
    <t>2.1.2.2.1</t>
  </si>
  <si>
    <t>2.1.2.2.2</t>
  </si>
  <si>
    <t>2.1.2.2.3</t>
  </si>
  <si>
    <t>2.1.2.2.4</t>
  </si>
  <si>
    <t>2.1.2.2.5</t>
  </si>
  <si>
    <t>2.1.2.2.6</t>
  </si>
  <si>
    <t>2.1.2.2.7</t>
  </si>
  <si>
    <t>2.1.2.2.8</t>
  </si>
  <si>
    <t>2.2</t>
  </si>
  <si>
    <t>Потолки в МОП (коридор, лифтовой холл, тамбур, лестничная клетка)</t>
  </si>
  <si>
    <t>2.2.1</t>
  </si>
  <si>
    <t>2.2.1.1</t>
  </si>
  <si>
    <t>2.2.1.1.1</t>
  </si>
  <si>
    <t>2.2.1.1.2</t>
  </si>
  <si>
    <t>2.2.2</t>
  </si>
  <si>
    <t>2.2.2.1</t>
  </si>
  <si>
    <t>2.2.2.1.1</t>
  </si>
  <si>
    <t>2.2.2.1.2</t>
  </si>
  <si>
    <t>2.3</t>
  </si>
  <si>
    <t>Керамический гранит 300х300х8 мм</t>
  </si>
  <si>
    <t>1.1.3</t>
  </si>
  <si>
    <t>Общие работы</t>
  </si>
  <si>
    <t>1.1.3.1</t>
  </si>
  <si>
    <t>1.1.3.2</t>
  </si>
  <si>
    <t>Заделка гнезд под установку распаячных коробок</t>
  </si>
  <si>
    <t>шт.</t>
  </si>
  <si>
    <t>2.1.3</t>
  </si>
  <si>
    <t>2.1.3.1</t>
  </si>
  <si>
    <t>2.1.3.2</t>
  </si>
  <si>
    <t>Знак-лифт для МГН</t>
  </si>
  <si>
    <t>Знак  направление при эвакуации</t>
  </si>
  <si>
    <t>Знак пожаробезопасной зоны для инвалидов</t>
  </si>
  <si>
    <t>Мнемосхема</t>
  </si>
  <si>
    <t>Эвакуационный знак направления движения (поворот),</t>
  </si>
  <si>
    <t>Знак эвакуационный выход</t>
  </si>
  <si>
    <t>Отделка дверных откосов (грунтовка, улучшенная штукатурка поверхности строительной штукатурной смесью на гипсовом вяжущем толщиной 8мм, шпатлевка толщиной до 1мм, окраска стен декоративной краской "Шагрень"(RAL согласовывается заказчиком))</t>
  </si>
  <si>
    <t>по ЖБК</t>
  </si>
  <si>
    <t>по Камню</t>
  </si>
  <si>
    <t>по Газику</t>
  </si>
  <si>
    <t>1.1.1.5.9</t>
  </si>
  <si>
    <t>Шпаклевка стен  из ГКЛ смесью на гипсовой основе</t>
  </si>
  <si>
    <t>Стены помещения санузла консъержа, уборочного инвентаря</t>
  </si>
  <si>
    <t>Стены помещения консъержа</t>
  </si>
  <si>
    <t>Стены коридора, лифтового холла, вестибюля, колясочной</t>
  </si>
  <si>
    <t>минераловатные плиты  типа Rockwool Фасад Баттс Д оптима толщ. 100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</si>
  <si>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r>
      <t xml:space="preserve">Устройство теплоизоляции из минераловатных плит, толщ. 100 мм </t>
    </r>
    <r>
      <rPr>
        <sz val="10"/>
        <rFont val="Times New Roman"/>
        <family val="1"/>
        <charset val="204"/>
      </rPr>
      <t/>
    </r>
  </si>
  <si>
    <t>МОП (Лестничная клетка)-длина взята по утеплителю</t>
  </si>
  <si>
    <t>МОП (Тамбур)-длина взята по утеплителю</t>
  </si>
  <si>
    <t xml:space="preserve">Лист ГФЛ 3000х1200х12,5 мм </t>
  </si>
  <si>
    <t>Стены лестничной клетки, тамбура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</si>
  <si>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покраска водоэмульсионной белой матовой краской за 2 раза)</t>
  </si>
  <si>
    <t>1.1.1.3.6</t>
  </si>
  <si>
    <t>Отделка дверных откосов (грунтовка, улучшенная штукатурка поверхности строительной штукатурной смесью на цементном вяжущем толщиной 10мм, облицовка керамической плиткой на клею)</t>
  </si>
  <si>
    <t>Стены в МОП (коридор, лифтовой холл, вестибюль, колясочная, тамбур, лестничная клетка, помещение консъержа)</t>
  </si>
  <si>
    <t>1.1.1.5.10</t>
  </si>
  <si>
    <t>1.1.1.5.11</t>
  </si>
  <si>
    <t xml:space="preserve">краска декоративная Шагрень КМ0, фракц.1,5 мм </t>
  </si>
  <si>
    <t xml:space="preserve">лист ГКЛО 3000х1200х12,5 мм </t>
  </si>
  <si>
    <t>Зашивка инженерных стояков ГКЛО по м/каркасу в 2 слоя</t>
  </si>
  <si>
    <t>Зашивка ниш в местах прохода ОВ ГКЛО по м/каркасу в 2 слоя</t>
  </si>
  <si>
    <t>люк смотровой пластиковый, накладной 200х250</t>
  </si>
  <si>
    <t>Выравнивание стен  из перегородочного камня смесью на гипсовой основе толщ. 2 мм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</si>
  <si>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оклейка обоями, покраска водоэмульсионной  матовой краской за 2 раза)</t>
  </si>
  <si>
    <t>Р окон</t>
  </si>
  <si>
    <t>м</t>
  </si>
  <si>
    <t>1 секция</t>
  </si>
  <si>
    <t>Р двери</t>
  </si>
  <si>
    <t>2 секция</t>
  </si>
  <si>
    <t>Потолки в коридоре, лифтовом холле, помещении уборочного инвентаря, лестничной клетки,  санузла консъержа</t>
  </si>
  <si>
    <t>Потолки в МОП (коридор, лифтовой холл, вестибюль, колясочная, тамбур, лестничная клетка, помещение консъержа)</t>
  </si>
  <si>
    <t>Потолки в комнатах, прихожих, кухнях, с/у квартир</t>
  </si>
  <si>
    <t>Заделка борозд в перегородках из камня</t>
  </si>
  <si>
    <t>2.2.1.1.3</t>
  </si>
  <si>
    <t>Потолки  коридора, лифтового холла, тамбура, лестничной клетки</t>
  </si>
  <si>
    <t>2.2.2.1.3</t>
  </si>
  <si>
    <t xml:space="preserve">Лист ГКЛ 3000х1200х12,5 мм </t>
  </si>
  <si>
    <t>Подвес  для крепления профилей сечение 60x27 мм</t>
  </si>
  <si>
    <t>Алюминиевый профиль 25х25 цвет RAL 9004 (согласовать)</t>
  </si>
  <si>
    <t>Стены коридора, лифтового холла</t>
  </si>
  <si>
    <t>2.1.1.2.1</t>
  </si>
  <si>
    <t>2.1.1.2.2</t>
  </si>
  <si>
    <t>2.1.1.2.3</t>
  </si>
  <si>
    <t>2.1.1.2.4</t>
  </si>
  <si>
    <t>2.1.1.2.5</t>
  </si>
  <si>
    <t>2.1.1.2.6</t>
  </si>
  <si>
    <t>2.1.1.2.7</t>
  </si>
  <si>
    <t>2.1.1.2.8</t>
  </si>
  <si>
    <t>2.1.1.2.9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</si>
  <si>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окраска стен декоративной краской "Шагрень"(RAL согласовывается заказчиком))</t>
  </si>
  <si>
    <t>Знак направление путей эвакуации инвалидов-колясочников</t>
  </si>
  <si>
    <t>Знак местонахождения  кнопок обратной связи, звукового маяка, светового маяка, пожаробезопасной зоны</t>
  </si>
  <si>
    <t>сухая клей для ГКЛ на гипсовом вяжущем</t>
  </si>
  <si>
    <t>утеплитель Rockwool "Акустик Баттс" (пл. 85-125 кг/м3)</t>
  </si>
  <si>
    <t>Отделка оконных откосов (облицовка листами ГКЛВ на клею, шпатлевка толщиной до 1мм, покраска водоэмульсионной белой матовой краской за 2 раза)</t>
  </si>
  <si>
    <t>1.1.1.1.3</t>
  </si>
  <si>
    <t>2.1.1.1.3</t>
  </si>
  <si>
    <t>плитка глазурованная 300х300х8</t>
  </si>
  <si>
    <t>Облицовка откосов керамической плиткой на клею</t>
  </si>
  <si>
    <t>Эвакуационный знак Е21. Пункт (место) сбора</t>
  </si>
  <si>
    <t>Облицовка керамогранитной плиткой площадок</t>
  </si>
  <si>
    <t>Облицовка керамогранитной плиткой ступеней</t>
  </si>
  <si>
    <t>Облицовка керамогранитной плиткой конструкций ограждения</t>
  </si>
  <si>
    <t>Подвал</t>
  </si>
  <si>
    <t>0</t>
  </si>
  <si>
    <t>0.1</t>
  </si>
  <si>
    <t>0.1.1</t>
  </si>
  <si>
    <t>Стены подвального помещения</t>
  </si>
  <si>
    <t>0.1.1.1</t>
  </si>
  <si>
    <t>0.1.1.2</t>
  </si>
  <si>
    <t>Ниже отм. 0.000</t>
  </si>
  <si>
    <t xml:space="preserve">Устройство подоконных досок из ПВХ </t>
  </si>
  <si>
    <t>Отделка откосов оконных блоков в подвале</t>
  </si>
  <si>
    <t>Обязательно! На фирменном бланке организации!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</si>
  <si>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</si>
  <si>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Коммерческое предложение</t>
  </si>
  <si>
    <t>на выполнение комплекса работ по чистовой отделке квартир, мест общего  пользования, подсобных и вспомогательных помещений  корпуса №24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</si>
  <si>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</si>
  <si>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</si>
  <si>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(14295_027-АР. Изм.11 ст. РД.)</t>
  </si>
  <si>
    <t>Стоимость ед., руб., в т.ч. НДС</t>
  </si>
  <si>
    <t>Стоимость всего, руб., в т.ч. НДС</t>
  </si>
  <si>
    <t>Примечание</t>
  </si>
  <si>
    <t>Материалы</t>
  </si>
  <si>
    <t>СМР</t>
  </si>
  <si>
    <t>ИТОГО</t>
  </si>
  <si>
    <t xml:space="preserve">Поставка и монтаж внутриквартирных  дверных  блоков  по корпусу </t>
  </si>
  <si>
    <t>Всего по расчету с НДС 20%</t>
  </si>
  <si>
    <t xml:space="preserve">Авансирование, % </t>
  </si>
  <si>
    <t>Временные и другие параметры, ед. изм.</t>
  </si>
  <si>
    <t>Сроки выполнения работ</t>
  </si>
  <si>
    <t>Гарантийные обязательства, год</t>
  </si>
  <si>
    <t>5 лет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</si>
  <si>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</si>
  <si>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</si>
  <si>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</si>
  <si>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</si>
  <si>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</si>
  <si>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</si>
  <si>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</si>
  <si>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</si>
  <si>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</si>
  <si>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</si>
  <si>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</si>
  <si>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</si>
  <si>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</si>
  <si>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</si>
  <si>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</si>
  <si>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</si>
  <si>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</si>
  <si>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</si>
  <si>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</si>
  <si>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</si>
  <si>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</si>
  <si>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</si>
  <si>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</si>
  <si>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</si>
  <si>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</si>
  <si>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</si>
  <si>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</si>
  <si>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</si>
  <si>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</si>
  <si>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Дверь в кухню, в комнату Индивидуальная по ГОСТ 475-2016 Г ПрБ 2050х850</t>
  </si>
  <si>
    <t>Дверь в санузел Индивидуальная по ГОСТ 475-2016 2050х750</t>
  </si>
  <si>
    <t>Дверь в санузел  консьержа Индивидуальная по ГОСТ 475-2016 2100х750</t>
  </si>
  <si>
    <t>Дверь в санузел  аренда Индивидуальная по ГОСТ 475-2016 Г 2100х950</t>
  </si>
  <si>
    <t>Дверь в помещение уборочного инвентаря Индивидуальная по ГОСТ 475-2016 Г 2100х850</t>
  </si>
  <si>
    <t>Устройство тонкого штукатурного фасада типа Ceresit толщ. 6-10 мм (сертификат НГ на систему) в вестибюле по утеплителю t=100 мм</t>
  </si>
  <si>
    <t>Объём работ и нормативная потребность материалов на объект по производственной норме (По 14295_027-АР. Изм.11 ст. РД.)</t>
  </si>
  <si>
    <t>май 2022 г.-май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</si>
</sst>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8" formatCode="0.000"/>
    <numFmt numFmtId="169" formatCode="_-* #,##0.00[$€-1]_-;\-* #,##0.00[$€-1]_-;_-* &quot;-&quot;??[$€-1]_-"/>
    <numFmt numFmtId="170" formatCode="_-* #,##0\ &quot;руб&quot;_-;\-* #,##0\ &quot;руб&quot;_-;_-* &quot;-&quot;\ &quot;руб&quot;_-;_-@_-"/>
    <numFmt numFmtId="171" formatCode="&quot;?.&quot;#,##0_);[Red]\(&quot;?.&quot;#,##0\)"/>
    <numFmt numFmtId="172" formatCode="&quot;?.&quot;#,##0.00_);[Red]\(&quot;?.&quot;#,##0.00\)"/>
    <numFmt numFmtId="173" formatCode="0.0000000"/>
    <numFmt numFmtId="174" formatCode="General_)"/>
    <numFmt numFmtId="175" formatCode="0.000000000"/>
    <numFmt numFmtId="176" formatCode="0.0000000000"/>
    <numFmt numFmtId="177" formatCode="0.00000000000"/>
    <numFmt numFmtId="178" formatCode="0.0000000000000"/>
    <numFmt numFmtId="179" formatCode="\X\X\X\X\X\X\-\X\X\X"/>
    <numFmt numFmtId="180" formatCode="#,##0.0"/>
    <numFmt numFmtId="181" formatCode="#,##0.00_ ;[Red]\(#,##0.00\)\ "/>
    <numFmt numFmtId="182" formatCode="0.0,,_);\(0.0,,\);\-_0_)"/>
    <numFmt numFmtId="183" formatCode="#,##0_);[Red]\(#,##0\)"/>
    <numFmt numFmtId="184" formatCode="#,##0.00_);[Red]\(#,##0.00\)"/>
    <numFmt numFmtId="185" formatCode="0.0%;\(0.0%\)"/>
    <numFmt numFmtId="186" formatCode="0.000000"/>
    <numFmt numFmtId="187" formatCode="&quot;£&quot;#,##0"/>
    <numFmt numFmtId="188" formatCode="_-* #,##0.00&quot;р.&quot;_-;\-* #,##0.00&quot;р.&quot;_-;_-* &quot;-&quot;??&quot;р.&quot;_-;_-@_-"/>
    <numFmt numFmtId="189" formatCode="_-&quot;£&quot;* #,##0.00_-;\-&quot;£&quot;* #,##0.00_-;_-&quot;£&quot;* &quot;-&quot;??_-;_-@_-"/>
    <numFmt numFmtId="190" formatCode="#,##0\т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</numFmts>
  <fonts count="9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rgb="FF7030A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310">
    <xf numFmtId="0" fontId="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5" fillId="0" borderId="0"/>
    <xf numFmtId="169" fontId="14" fillId="0" borderId="0"/>
    <xf numFmtId="169" fontId="15" fillId="0" borderId="0"/>
    <xf numFmtId="169" fontId="14" fillId="0" borderId="0"/>
    <xf numFmtId="169" fontId="15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169" fontId="14" fillId="0" borderId="0"/>
    <xf numFmtId="169" fontId="14" fillId="0" borderId="0"/>
    <xf numFmtId="169" fontId="14" fillId="0" borderId="0"/>
    <xf numFmtId="169" fontId="15" fillId="0" borderId="0"/>
    <xf numFmtId="169" fontId="15" fillId="0" borderId="0"/>
    <xf numFmtId="169" fontId="16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9" fontId="16" fillId="0" borderId="18">
      <protection locked="0"/>
    </xf>
    <xf numFmtId="169" fontId="17" fillId="0" borderId="0">
      <protection locked="0"/>
    </xf>
    <xf numFmtId="169" fontId="17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9" fontId="16" fillId="0" borderId="18">
      <protection locked="0"/>
    </xf>
    <xf numFmtId="169" fontId="16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70" fontId="12" fillId="0" borderId="0">
      <alignment horizontal="center"/>
    </xf>
    <xf numFmtId="169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9" fontId="21" fillId="0" borderId="0" applyNumberFormat="0" applyFill="0" applyBorder="0" applyAlignment="0" applyProtection="0">
      <alignment vertical="top"/>
      <protection locked="0"/>
    </xf>
    <xf numFmtId="169" fontId="22" fillId="0" borderId="0"/>
    <xf numFmtId="173" fontId="12" fillId="0" borderId="0" applyFill="0" applyBorder="0" applyAlignment="0"/>
    <xf numFmtId="174" fontId="23" fillId="0" borderId="0" applyFill="0" applyBorder="0" applyAlignment="0"/>
    <xf numFmtId="168" fontId="23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3" fontId="12" fillId="0" borderId="0" applyFill="0" applyBorder="0" applyAlignment="0"/>
    <xf numFmtId="177" fontId="12" fillId="0" borderId="0" applyFill="0" applyBorder="0" applyAlignment="0"/>
    <xf numFmtId="174" fontId="23" fillId="0" borderId="0" applyFill="0" applyBorder="0" applyAlignment="0"/>
    <xf numFmtId="37" fontId="24" fillId="18" borderId="2">
      <alignment horizontal="center" vertical="center"/>
    </xf>
    <xf numFmtId="38" fontId="8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25" fillId="0" borderId="0" applyFont="0" applyBorder="0">
      <alignment vertical="top"/>
    </xf>
    <xf numFmtId="14" fontId="26" fillId="0" borderId="0" applyFill="0" applyBorder="0" applyAlignment="0"/>
    <xf numFmtId="179" fontId="12" fillId="0" borderId="19">
      <alignment vertical="center"/>
    </xf>
    <xf numFmtId="169" fontId="27" fillId="0" borderId="0" applyNumberFormat="0" applyFill="0" applyBorder="0" applyAlignment="0" applyProtection="0"/>
    <xf numFmtId="173" fontId="12" fillId="0" borderId="0" applyFill="0" applyBorder="0" applyAlignment="0"/>
    <xf numFmtId="174" fontId="23" fillId="0" borderId="0" applyFill="0" applyBorder="0" applyAlignment="0"/>
    <xf numFmtId="173" fontId="12" fillId="0" borderId="0" applyFill="0" applyBorder="0" applyAlignment="0"/>
    <xf numFmtId="177" fontId="12" fillId="0" borderId="0" applyFill="0" applyBorder="0" applyAlignment="0"/>
    <xf numFmtId="174" fontId="23" fillId="0" borderId="0" applyFill="0" applyBorder="0" applyAlignment="0"/>
    <xf numFmtId="169" fontId="12" fillId="0" borderId="0" applyFont="0" applyFill="0" applyBorder="0" applyAlignment="0" applyProtection="0"/>
    <xf numFmtId="0" fontId="28" fillId="0" borderId="0"/>
    <xf numFmtId="169" fontId="16" fillId="0" borderId="0">
      <protection locked="0"/>
    </xf>
    <xf numFmtId="169" fontId="16" fillId="0" borderId="0">
      <protection locked="0"/>
    </xf>
    <xf numFmtId="169" fontId="29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69" fontId="29" fillId="0" borderId="0">
      <protection locked="0"/>
    </xf>
    <xf numFmtId="169" fontId="8" fillId="0" borderId="0"/>
    <xf numFmtId="169" fontId="30" fillId="0" borderId="0" applyNumberFormat="0" applyFill="0" applyBorder="0" applyAlignment="0" applyProtection="0">
      <alignment vertical="top"/>
      <protection locked="0"/>
    </xf>
    <xf numFmtId="169" fontId="31" fillId="0" borderId="20" applyNumberFormat="0" applyAlignment="0" applyProtection="0">
      <alignment horizontal="left" vertical="center"/>
    </xf>
    <xf numFmtId="169" fontId="31" fillId="0" borderId="11">
      <alignment horizontal="left" vertical="center"/>
    </xf>
    <xf numFmtId="169" fontId="32" fillId="0" borderId="0"/>
    <xf numFmtId="169" fontId="33" fillId="0" borderId="0"/>
    <xf numFmtId="169" fontId="34" fillId="0" borderId="0"/>
    <xf numFmtId="169" fontId="9" fillId="0" borderId="0"/>
    <xf numFmtId="169" fontId="35" fillId="0" borderId="0"/>
    <xf numFmtId="169" fontId="36" fillId="0" borderId="0"/>
    <xf numFmtId="169" fontId="8" fillId="0" borderId="0">
      <alignment horizontal="center"/>
    </xf>
    <xf numFmtId="169" fontId="21" fillId="0" borderId="0" applyNumberFormat="0" applyFill="0" applyBorder="0" applyAlignment="0" applyProtection="0">
      <alignment vertical="top"/>
      <protection locked="0"/>
    </xf>
    <xf numFmtId="169" fontId="18" fillId="0" borderId="0"/>
    <xf numFmtId="2" fontId="37" fillId="0" borderId="0"/>
    <xf numFmtId="169" fontId="38" fillId="0" borderId="0" applyNumberFormat="0" applyFill="0" applyBorder="0" applyAlignment="0">
      <protection locked="0"/>
    </xf>
    <xf numFmtId="169" fontId="30" fillId="0" borderId="0" applyNumberFormat="0" applyFill="0" applyBorder="0" applyAlignment="0" applyProtection="0">
      <alignment vertical="top"/>
      <protection locked="0"/>
    </xf>
    <xf numFmtId="169" fontId="39" fillId="0" borderId="0">
      <alignment vertical="center"/>
    </xf>
    <xf numFmtId="3" fontId="40" fillId="19" borderId="2">
      <protection locked="0"/>
    </xf>
    <xf numFmtId="180" fontId="41" fillId="20" borderId="2">
      <alignment horizontal="left"/>
      <protection locked="0"/>
    </xf>
    <xf numFmtId="181" fontId="41" fillId="20" borderId="2">
      <protection locked="0"/>
    </xf>
    <xf numFmtId="169" fontId="41" fillId="20" borderId="2">
      <alignment horizontal="center"/>
      <protection locked="0"/>
    </xf>
    <xf numFmtId="173" fontId="12" fillId="0" borderId="0" applyFill="0" applyBorder="0" applyAlignment="0"/>
    <xf numFmtId="174" fontId="23" fillId="0" borderId="0" applyFill="0" applyBorder="0" applyAlignment="0"/>
    <xf numFmtId="173" fontId="12" fillId="0" borderId="0" applyFill="0" applyBorder="0" applyAlignment="0"/>
    <xf numFmtId="177" fontId="12" fillId="0" borderId="0" applyFill="0" applyBorder="0" applyAlignment="0"/>
    <xf numFmtId="174" fontId="23" fillId="0" borderId="0" applyFill="0" applyBorder="0" applyAlignment="0"/>
    <xf numFmtId="169" fontId="8" fillId="0" borderId="0">
      <alignment horizontal="center"/>
    </xf>
    <xf numFmtId="182" fontId="37" fillId="0" borderId="0"/>
    <xf numFmtId="169" fontId="18" fillId="0" borderId="21"/>
    <xf numFmtId="169" fontId="42" fillId="0" borderId="0" applyNumberFormat="0" applyFill="0" applyBorder="0" applyAlignment="0" applyProtection="0"/>
    <xf numFmtId="169" fontId="14" fillId="0" borderId="0"/>
    <xf numFmtId="169" fontId="8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9" fontId="8" fillId="0" borderId="0"/>
    <xf numFmtId="169" fontId="43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9" fontId="44" fillId="0" borderId="0" applyNumberFormat="0" applyFill="0" applyBorder="0" applyAlignment="0">
      <protection locked="0"/>
    </xf>
    <xf numFmtId="169" fontId="45" fillId="0" borderId="0"/>
    <xf numFmtId="169" fontId="46" fillId="21" borderId="0">
      <alignment vertical="center"/>
    </xf>
    <xf numFmtId="185" fontId="47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73" fontId="12" fillId="0" borderId="0" applyFill="0" applyBorder="0" applyAlignment="0"/>
    <xf numFmtId="174" fontId="23" fillId="0" borderId="0" applyFill="0" applyBorder="0" applyAlignment="0"/>
    <xf numFmtId="173" fontId="12" fillId="0" borderId="0" applyFill="0" applyBorder="0" applyAlignment="0"/>
    <xf numFmtId="177" fontId="12" fillId="0" borderId="0" applyFill="0" applyBorder="0" applyAlignment="0"/>
    <xf numFmtId="174" fontId="23" fillId="0" borderId="0" applyFill="0" applyBorder="0" applyAlignment="0"/>
    <xf numFmtId="169" fontId="8" fillId="0" borderId="0"/>
    <xf numFmtId="169" fontId="48" fillId="0" borderId="0">
      <alignment horizontal="left"/>
    </xf>
    <xf numFmtId="169" fontId="48" fillId="0" borderId="0">
      <alignment horizontal="right"/>
    </xf>
    <xf numFmtId="169" fontId="45" fillId="0" borderId="0"/>
    <xf numFmtId="169" fontId="49" fillId="22" borderId="2">
      <alignment horizontal="centerContinuous" vertical="center" wrapText="1"/>
      <protection locked="0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2" fillId="0" borderId="0">
      <alignment horizontal="center" vertical="center"/>
    </xf>
    <xf numFmtId="0" fontId="52" fillId="0" borderId="0">
      <alignment horizontal="left" vertical="center"/>
    </xf>
    <xf numFmtId="0" fontId="52" fillId="0" borderId="0">
      <alignment horizontal="right" vertical="center"/>
    </xf>
    <xf numFmtId="0" fontId="52" fillId="0" borderId="0">
      <alignment horizontal="left" vertical="center"/>
    </xf>
    <xf numFmtId="0" fontId="52" fillId="0" borderId="0">
      <alignment horizontal="right" vertical="top"/>
    </xf>
    <xf numFmtId="0" fontId="52" fillId="0" borderId="0">
      <alignment horizontal="left" vertical="top"/>
    </xf>
    <xf numFmtId="0" fontId="53" fillId="0" borderId="0">
      <alignment horizontal="right" vertical="center"/>
    </xf>
    <xf numFmtId="0" fontId="52" fillId="0" borderId="0">
      <alignment horizontal="left" vertical="top"/>
    </xf>
    <xf numFmtId="0" fontId="52" fillId="0" borderId="0">
      <alignment horizontal="left" vertical="top"/>
    </xf>
    <xf numFmtId="0" fontId="52" fillId="0" borderId="0">
      <alignment horizontal="left" vertical="top"/>
    </xf>
    <xf numFmtId="0" fontId="52" fillId="0" borderId="0">
      <alignment horizontal="left" vertical="center"/>
    </xf>
    <xf numFmtId="0" fontId="50" fillId="0" borderId="1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4" fillId="0" borderId="0">
      <alignment horizontal="left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10">
      <alignment horizontal="center" vertical="center"/>
    </xf>
    <xf numFmtId="0" fontId="50" fillId="0" borderId="10">
      <alignment horizontal="center" vertical="center"/>
    </xf>
    <xf numFmtId="0" fontId="50" fillId="0" borderId="1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2">
      <alignment horizontal="center" vertical="center"/>
    </xf>
    <xf numFmtId="0" fontId="50" fillId="0" borderId="10">
      <alignment horizontal="center" vertical="center"/>
    </xf>
    <xf numFmtId="0" fontId="54" fillId="0" borderId="0">
      <alignment horizontal="left" vertical="center"/>
    </xf>
    <xf numFmtId="0" fontId="53" fillId="0" borderId="8">
      <alignment horizontal="center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3" fillId="0" borderId="13">
      <alignment horizontal="left" vertical="top"/>
    </xf>
    <xf numFmtId="0" fontId="53" fillId="0" borderId="13">
      <alignment horizontal="right" vertical="top"/>
    </xf>
    <xf numFmtId="0" fontId="53" fillId="0" borderId="13">
      <alignment horizontal="right" vertical="top"/>
    </xf>
    <xf numFmtId="0" fontId="54" fillId="0" borderId="0">
      <alignment horizontal="left" vertical="center"/>
    </xf>
    <xf numFmtId="0" fontId="53" fillId="0" borderId="13">
      <alignment horizontal="right" vertical="top"/>
    </xf>
    <xf numFmtId="0" fontId="53" fillId="0" borderId="0">
      <alignment horizontal="right" vertical="top"/>
    </xf>
    <xf numFmtId="0" fontId="53" fillId="0" borderId="0">
      <alignment horizontal="right" vertical="top"/>
    </xf>
    <xf numFmtId="0" fontId="53" fillId="0" borderId="0">
      <alignment horizontal="right" vertical="top"/>
    </xf>
    <xf numFmtId="0" fontId="54" fillId="0" borderId="0">
      <alignment horizontal="left" vertical="top"/>
    </xf>
    <xf numFmtId="0" fontId="53" fillId="0" borderId="0">
      <alignment horizontal="left" vertical="top"/>
    </xf>
    <xf numFmtId="0" fontId="54" fillId="0" borderId="0">
      <alignment horizontal="right" vertical="top"/>
    </xf>
    <xf numFmtId="0" fontId="53" fillId="0" borderId="0">
      <alignment horizontal="right" vertical="top"/>
    </xf>
    <xf numFmtId="0" fontId="54" fillId="0" borderId="0">
      <alignment horizontal="right" vertical="top"/>
    </xf>
    <xf numFmtId="0" fontId="54" fillId="0" borderId="0">
      <alignment horizontal="right" vertical="top"/>
    </xf>
    <xf numFmtId="0" fontId="55" fillId="0" borderId="8">
      <alignment horizontal="left" vertical="top"/>
    </xf>
    <xf numFmtId="0" fontId="54" fillId="0" borderId="0">
      <alignment horizontal="left" vertical="top"/>
    </xf>
    <xf numFmtId="0" fontId="54" fillId="0" borderId="0">
      <alignment horizontal="right" vertical="top"/>
    </xf>
    <xf numFmtId="0" fontId="54" fillId="0" borderId="0">
      <alignment horizontal="left" vertical="top"/>
    </xf>
    <xf numFmtId="0" fontId="54" fillId="0" borderId="0">
      <alignment horizontal="left" vertical="top"/>
    </xf>
    <xf numFmtId="0" fontId="54" fillId="0" borderId="0">
      <alignment horizontal="righ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top"/>
    </xf>
    <xf numFmtId="0" fontId="54" fillId="0" borderId="8">
      <alignment horizontal="left" vertical="center"/>
    </xf>
    <xf numFmtId="0" fontId="52" fillId="0" borderId="0">
      <alignment horizontal="left" vertical="center"/>
    </xf>
    <xf numFmtId="0" fontId="52" fillId="0" borderId="0">
      <alignment horizontal="left" vertical="center"/>
    </xf>
    <xf numFmtId="0" fontId="52" fillId="0" borderId="0">
      <alignment horizontal="left" vertical="top"/>
    </xf>
    <xf numFmtId="169" fontId="48" fillId="0" borderId="0"/>
    <xf numFmtId="169" fontId="41" fillId="0" borderId="0"/>
    <xf numFmtId="49" fontId="26" fillId="0" borderId="0" applyFill="0" applyBorder="0" applyAlignment="0"/>
    <xf numFmtId="186" fontId="12" fillId="0" borderId="0" applyFill="0" applyBorder="0" applyAlignment="0"/>
    <xf numFmtId="187" fontId="12" fillId="0" borderId="0" applyFill="0" applyBorder="0" applyAlignment="0"/>
    <xf numFmtId="169" fontId="8" fillId="0" borderId="0"/>
    <xf numFmtId="169" fontId="11" fillId="0" borderId="0"/>
    <xf numFmtId="169" fontId="8" fillId="0" borderId="0">
      <alignment horizontal="center" vertical="center" textRotation="180"/>
    </xf>
    <xf numFmtId="169" fontId="11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6" borderId="0" applyNumberFormat="0" applyBorder="0" applyAlignment="0" applyProtection="0"/>
    <xf numFmtId="174" fontId="56" fillId="0" borderId="22">
      <protection locked="0"/>
    </xf>
    <xf numFmtId="0" fontId="57" fillId="9" borderId="23" applyNumberFormat="0" applyAlignment="0" applyProtection="0"/>
    <xf numFmtId="0" fontId="58" fillId="27" borderId="24" applyNumberFormat="0" applyAlignment="0" applyProtection="0"/>
    <xf numFmtId="0" fontId="59" fillId="27" borderId="23" applyNumberFormat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174" fontId="63" fillId="28" borderId="22"/>
    <xf numFmtId="0" fontId="64" fillId="0" borderId="28" applyNumberFormat="0" applyFill="0" applyAlignment="0" applyProtection="0"/>
    <xf numFmtId="0" fontId="65" fillId="29" borderId="29" applyNumberFormat="0" applyAlignment="0" applyProtection="0"/>
    <xf numFmtId="0" fontId="66" fillId="0" borderId="0" applyNumberFormat="0" applyFill="0" applyBorder="0" applyAlignment="0" applyProtection="0"/>
    <xf numFmtId="0" fontId="67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5" borderId="0" applyNumberFormat="0" applyBorder="0" applyAlignment="0" applyProtection="0"/>
    <xf numFmtId="0" fontId="6" fillId="0" borderId="0"/>
    <xf numFmtId="0" fontId="6" fillId="0" borderId="0"/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3" fillId="31" borderId="30" applyNumberFormat="0" applyFont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3" fillId="0" borderId="31" applyNumberFormat="0" applyFill="0" applyAlignment="0" applyProtection="0"/>
    <xf numFmtId="0" fontId="6" fillId="0" borderId="0"/>
    <xf numFmtId="0" fontId="6" fillId="0" borderId="0"/>
    <xf numFmtId="0" fontId="14" fillId="0" borderId="0"/>
    <xf numFmtId="0" fontId="74" fillId="0" borderId="0"/>
    <xf numFmtId="169" fontId="12" fillId="0" borderId="0">
      <alignment vertical="justify"/>
    </xf>
    <xf numFmtId="169" fontId="12" fillId="32" borderId="2" applyNumberFormat="0" applyAlignment="0">
      <alignment horizontal="left"/>
    </xf>
    <xf numFmtId="169" fontId="12" fillId="32" borderId="2" applyNumberFormat="0" applyAlignment="0">
      <alignment horizontal="left"/>
    </xf>
    <xf numFmtId="0" fontId="75" fillId="0" borderId="0" applyNumberFormat="0" applyFill="0" applyBorder="0" applyAlignment="0" applyProtection="0"/>
    <xf numFmtId="0" fontId="6" fillId="0" borderId="0"/>
    <xf numFmtId="0" fontId="6" fillId="0" borderId="0"/>
    <xf numFmtId="190" fontId="76" fillId="0" borderId="0"/>
    <xf numFmtId="165" fontId="13" fillId="0" borderId="0" applyFont="0" applyFill="0" applyBorder="0" applyAlignment="0" applyProtection="0"/>
    <xf numFmtId="3" fontId="77" fillId="0" borderId="17" applyFont="0" applyBorder="0">
      <alignment horizontal="right"/>
      <protection locked="0"/>
    </xf>
    <xf numFmtId="166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2" fontId="19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8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2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69" fillId="0" borderId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4" fontId="69" fillId="0" borderId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4" fontId="69" fillId="0" borderId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2" fontId="7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2" fontId="7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2" fontId="6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3" fontId="8" fillId="0" borderId="0" applyFont="0" applyFill="0" applyBorder="0" applyAlignment="0" applyProtection="0"/>
    <xf numFmtId="0" fontId="6" fillId="0" borderId="0"/>
    <xf numFmtId="195" fontId="80" fillId="33" borderId="32">
      <alignment vertical="center"/>
    </xf>
    <xf numFmtId="0" fontId="81" fillId="6" borderId="0" applyNumberFormat="0" applyBorder="0" applyAlignment="0" applyProtection="0"/>
    <xf numFmtId="0" fontId="6" fillId="0" borderId="0"/>
    <xf numFmtId="0" fontId="6" fillId="0" borderId="0"/>
    <xf numFmtId="169" fontId="16" fillId="0" borderId="0">
      <protection locked="0"/>
    </xf>
    <xf numFmtId="0" fontId="5" fillId="0" borderId="0"/>
    <xf numFmtId="0" fontId="4" fillId="0" borderId="0"/>
    <xf numFmtId="0" fontId="3" fillId="0" borderId="0"/>
  </cellStyleXfs>
  <cellXfs count="370">
    <xf numFmtId="0" fontId="0" fillId="0" borderId="0" xfId="0"/>
    <xf numFmtId="0" fontId="9" fillId="0" borderId="0" xfId="0" applyFont="1"/>
    <xf numFmtId="0" fontId="3" fillId="0" borderId="0" xfId="42309"/>
    <xf numFmtId="0" fontId="85" fillId="2" borderId="0" xfId="42309" applyFont="1" applyFill="1" applyAlignment="1">
      <alignment horizontal="center" vertical="center"/>
    </xf>
    <xf numFmtId="0" fontId="85" fillId="2" borderId="51" xfId="42309" applyFont="1" applyFill="1" applyBorder="1" applyAlignment="1">
      <alignment horizontal="center" vertical="center"/>
    </xf>
    <xf numFmtId="0" fontId="3" fillId="2" borderId="0" xfId="42309" applyFill="1"/>
    <xf numFmtId="0" fontId="85" fillId="0" borderId="66" xfId="42309" applyFont="1" applyBorder="1" applyAlignment="1">
      <alignment horizontal="center" vertical="center"/>
    </xf>
    <xf numFmtId="0" fontId="85" fillId="0" borderId="1" xfId="42309" applyFont="1" applyBorder="1" applyAlignment="1">
      <alignment horizontal="center" vertical="center" wrapText="1"/>
    </xf>
    <xf numFmtId="0" fontId="85" fillId="0" borderId="2" xfId="42309" applyFont="1" applyBorder="1" applyAlignment="1">
      <alignment horizontal="center" vertical="center" wrapText="1"/>
    </xf>
    <xf numFmtId="0" fontId="85" fillId="0" borderId="55" xfId="42309" applyFont="1" applyBorder="1" applyAlignment="1">
      <alignment horizontal="center" vertical="center" wrapText="1"/>
    </xf>
    <xf numFmtId="0" fontId="85" fillId="0" borderId="67" xfId="42309" applyFont="1" applyBorder="1" applyAlignment="1">
      <alignment horizontal="center" vertical="center"/>
    </xf>
    <xf numFmtId="0" fontId="86" fillId="0" borderId="58" xfId="42309" applyFont="1" applyBorder="1" applyAlignment="1">
      <alignment horizontal="center" vertical="center"/>
    </xf>
    <xf numFmtId="2" fontId="86" fillId="0" borderId="2" xfId="42309" applyNumberFormat="1" applyFont="1" applyBorder="1" applyAlignment="1">
      <alignment horizontal="center" vertical="center" wrapText="1"/>
    </xf>
    <xf numFmtId="0" fontId="84" fillId="0" borderId="10" xfId="42309" applyFont="1" applyBorder="1" applyAlignment="1">
      <alignment horizontal="center" vertical="center" wrapText="1"/>
    </xf>
    <xf numFmtId="2" fontId="84" fillId="0" borderId="10" xfId="42309" applyNumberFormat="1" applyFont="1" applyBorder="1" applyAlignment="1">
      <alignment horizontal="center" vertical="center" wrapText="1"/>
    </xf>
    <xf numFmtId="2" fontId="84" fillId="0" borderId="55" xfId="42309" applyNumberFormat="1" applyFont="1" applyBorder="1" applyAlignment="1">
      <alignment horizontal="center" vertical="center" wrapText="1"/>
    </xf>
    <xf numFmtId="2" fontId="3" fillId="0" borderId="0" xfId="42309" applyNumberFormat="1"/>
    <xf numFmtId="0" fontId="85" fillId="0" borderId="1" xfId="42309" applyFont="1" applyBorder="1" applyAlignment="1">
      <alignment horizontal="left" vertical="center"/>
    </xf>
    <xf numFmtId="2" fontId="85" fillId="0" borderId="2" xfId="42309" applyNumberFormat="1" applyFont="1" applyBorder="1" applyAlignment="1">
      <alignment horizontal="center" vertical="center" wrapText="1"/>
    </xf>
    <xf numFmtId="0" fontId="85" fillId="0" borderId="10" xfId="42309" applyFont="1" applyBorder="1" applyAlignment="1">
      <alignment horizontal="center" vertical="center" wrapText="1"/>
    </xf>
    <xf numFmtId="0" fontId="85" fillId="0" borderId="12" xfId="42309" applyFont="1" applyBorder="1" applyAlignment="1">
      <alignment horizontal="left" vertical="center"/>
    </xf>
    <xf numFmtId="0" fontId="3" fillId="0" borderId="0" xfId="42309" applyFont="1"/>
    <xf numFmtId="0" fontId="85" fillId="2" borderId="0" xfId="42309" applyFont="1" applyFill="1" applyBorder="1" applyAlignment="1">
      <alignment horizontal="center" vertical="center"/>
    </xf>
    <xf numFmtId="0" fontId="3" fillId="2" borderId="0" xfId="42309" applyFill="1" applyAlignment="1">
      <alignment wrapText="1"/>
    </xf>
    <xf numFmtId="2" fontId="3" fillId="2" borderId="0" xfId="42309" applyNumberFormat="1" applyFill="1" applyAlignment="1">
      <alignment wrapText="1"/>
    </xf>
    <xf numFmtId="0" fontId="85" fillId="2" borderId="1" xfId="42309" applyFont="1" applyFill="1" applyBorder="1" applyAlignment="1">
      <alignment horizontal="left" vertical="center"/>
    </xf>
    <xf numFmtId="2" fontId="85" fillId="2" borderId="2" xfId="42309" applyNumberFormat="1" applyFont="1" applyFill="1" applyBorder="1" applyAlignment="1">
      <alignment horizontal="center" vertical="center" wrapText="1"/>
    </xf>
    <xf numFmtId="0" fontId="3" fillId="0" borderId="0" xfId="42309" applyAlignment="1">
      <alignment wrapText="1"/>
    </xf>
    <xf numFmtId="0" fontId="84" fillId="0" borderId="55" xfId="42309" applyFont="1" applyBorder="1" applyAlignment="1">
      <alignment horizontal="center" vertical="center" wrapText="1"/>
    </xf>
    <xf numFmtId="0" fontId="86" fillId="0" borderId="70" xfId="42309" applyFont="1" applyBorder="1" applyAlignment="1">
      <alignment horizontal="center" vertical="center"/>
    </xf>
    <xf numFmtId="0" fontId="3" fillId="0" borderId="0" xfId="42309" applyFont="1" applyAlignment="1">
      <alignment wrapText="1"/>
    </xf>
    <xf numFmtId="2" fontId="3" fillId="0" borderId="0" xfId="42309" applyNumberFormat="1" applyAlignment="1">
      <alignment wrapText="1"/>
    </xf>
    <xf numFmtId="0" fontId="85" fillId="0" borderId="48" xfId="42309" applyFont="1" applyBorder="1" applyAlignment="1">
      <alignment horizontal="left" vertical="center"/>
    </xf>
    <xf numFmtId="2" fontId="85" fillId="0" borderId="3" xfId="42309" applyNumberFormat="1" applyFont="1" applyBorder="1" applyAlignment="1">
      <alignment horizontal="center" vertical="center" wrapText="1"/>
    </xf>
    <xf numFmtId="0" fontId="85" fillId="0" borderId="3" xfId="42309" applyFont="1" applyBorder="1" applyAlignment="1">
      <alignment horizontal="center" vertical="center" wrapText="1"/>
    </xf>
    <xf numFmtId="0" fontId="85" fillId="0" borderId="4" xfId="42309" applyFont="1" applyBorder="1" applyAlignment="1">
      <alignment horizontal="center" vertical="center" wrapText="1"/>
    </xf>
    <xf numFmtId="0" fontId="85" fillId="0" borderId="59" xfId="42309" applyFont="1" applyBorder="1" applyAlignment="1">
      <alignment horizontal="left" vertical="center"/>
    </xf>
    <xf numFmtId="2" fontId="85" fillId="0" borderId="60" xfId="42309" applyNumberFormat="1" applyFont="1" applyBorder="1" applyAlignment="1">
      <alignment horizontal="center" vertical="center" wrapText="1"/>
    </xf>
    <xf numFmtId="0" fontId="85" fillId="0" borderId="60" xfId="42309" applyFont="1" applyBorder="1" applyAlignment="1">
      <alignment horizontal="center" vertical="center" wrapText="1"/>
    </xf>
    <xf numFmtId="0" fontId="85" fillId="0" borderId="71" xfId="42309" applyFont="1" applyBorder="1" applyAlignment="1">
      <alignment horizontal="center" vertical="center" wrapText="1"/>
    </xf>
    <xf numFmtId="0" fontId="84" fillId="0" borderId="71" xfId="42309" applyFont="1" applyBorder="1" applyAlignment="1">
      <alignment horizontal="center" vertical="center" wrapText="1"/>
    </xf>
    <xf numFmtId="0" fontId="85" fillId="0" borderId="72" xfId="42309" applyFont="1" applyBorder="1" applyAlignment="1">
      <alignment horizontal="left" vertical="center"/>
    </xf>
    <xf numFmtId="0" fontId="3" fillId="0" borderId="2" xfId="42309" applyBorder="1"/>
    <xf numFmtId="0" fontId="3" fillId="0" borderId="2" xfId="42309" applyBorder="1" applyAlignment="1">
      <alignment wrapText="1"/>
    </xf>
    <xf numFmtId="0" fontId="3" fillId="0" borderId="55" xfId="42309" applyBorder="1" applyAlignment="1">
      <alignment wrapText="1"/>
    </xf>
    <xf numFmtId="0" fontId="3" fillId="0" borderId="1" xfId="42309" applyBorder="1"/>
    <xf numFmtId="0" fontId="3" fillId="0" borderId="12" xfId="42309" applyBorder="1"/>
    <xf numFmtId="0" fontId="3" fillId="0" borderId="3" xfId="42309" applyBorder="1" applyAlignment="1">
      <alignment wrapText="1"/>
    </xf>
    <xf numFmtId="0" fontId="3" fillId="0" borderId="4" xfId="42309" applyBorder="1" applyAlignment="1">
      <alignment wrapText="1"/>
    </xf>
    <xf numFmtId="0" fontId="3" fillId="0" borderId="48" xfId="42309" applyBorder="1"/>
    <xf numFmtId="0" fontId="3" fillId="0" borderId="73" xfId="42309" applyBorder="1"/>
    <xf numFmtId="0" fontId="84" fillId="0" borderId="39" xfId="42309" applyFont="1" applyBorder="1" applyAlignment="1">
      <alignment wrapText="1"/>
    </xf>
    <xf numFmtId="0" fontId="85" fillId="2" borderId="41" xfId="42309" applyFont="1" applyFill="1" applyBorder="1" applyAlignment="1">
      <alignment horizontal="center" vertical="center"/>
    </xf>
    <xf numFmtId="0" fontId="85" fillId="0" borderId="12" xfId="42309" applyFont="1" applyBorder="1" applyAlignment="1">
      <alignment horizontal="center" vertical="center" wrapText="1"/>
    </xf>
    <xf numFmtId="0" fontId="87" fillId="0" borderId="0" xfId="42309" applyFont="1" applyAlignment="1">
      <alignment horizontal="right" wrapText="1"/>
    </xf>
    <xf numFmtId="0" fontId="86" fillId="0" borderId="0" xfId="42309" applyFont="1" applyBorder="1" applyAlignment="1">
      <alignment horizontal="center" vertical="center"/>
    </xf>
    <xf numFmtId="0" fontId="85" fillId="0" borderId="42" xfId="42309" applyFont="1" applyBorder="1" applyAlignment="1">
      <alignment horizontal="left" vertical="center"/>
    </xf>
    <xf numFmtId="2" fontId="85" fillId="0" borderId="33" xfId="42309" applyNumberFormat="1" applyFont="1" applyBorder="1" applyAlignment="1">
      <alignment horizontal="center" vertical="center" wrapText="1"/>
    </xf>
    <xf numFmtId="0" fontId="85" fillId="0" borderId="33" xfId="42309" applyFont="1" applyBorder="1" applyAlignment="1">
      <alignment horizontal="center" vertical="center" wrapText="1"/>
    </xf>
    <xf numFmtId="0" fontId="85" fillId="0" borderId="54" xfId="42309" applyFont="1" applyBorder="1" applyAlignment="1">
      <alignment horizontal="center" vertical="center" wrapText="1"/>
    </xf>
    <xf numFmtId="0" fontId="3" fillId="0" borderId="0" xfId="42309" applyBorder="1"/>
    <xf numFmtId="0" fontId="83" fillId="0" borderId="2" xfId="42309" applyFont="1" applyBorder="1" applyAlignment="1">
      <alignment vertical="center" wrapText="1"/>
    </xf>
    <xf numFmtId="0" fontId="83" fillId="0" borderId="55" xfId="42309" applyFont="1" applyBorder="1" applyAlignment="1">
      <alignment vertical="center" wrapText="1"/>
    </xf>
    <xf numFmtId="0" fontId="85" fillId="0" borderId="46" xfId="42309" applyFont="1" applyBorder="1" applyAlignment="1">
      <alignment horizontal="left" vertical="center"/>
    </xf>
    <xf numFmtId="0" fontId="85" fillId="0" borderId="43" xfId="42309" applyFont="1" applyBorder="1" applyAlignment="1">
      <alignment horizontal="center" vertical="center" wrapText="1"/>
    </xf>
    <xf numFmtId="0" fontId="85" fillId="0" borderId="37" xfId="42309" applyFont="1" applyBorder="1" applyAlignment="1">
      <alignment horizontal="left" vertical="center"/>
    </xf>
    <xf numFmtId="0" fontId="85" fillId="0" borderId="0" xfId="42309" applyFont="1" applyAlignment="1">
      <alignment horizontal="center" vertical="center"/>
    </xf>
    <xf numFmtId="0" fontId="85" fillId="0" borderId="41" xfId="42309" applyFont="1" applyBorder="1" applyAlignment="1">
      <alignment horizontal="center" vertical="center"/>
    </xf>
    <xf numFmtId="0" fontId="85" fillId="0" borderId="0" xfId="42309" applyFont="1" applyBorder="1" applyAlignment="1">
      <alignment horizontal="center" vertical="center"/>
    </xf>
    <xf numFmtId="0" fontId="88" fillId="0" borderId="10" xfId="42309" applyFont="1" applyBorder="1" applyAlignment="1">
      <alignment horizontal="center" vertical="center" wrapText="1"/>
    </xf>
    <xf numFmtId="2" fontId="82" fillId="0" borderId="2" xfId="42309" applyNumberFormat="1" applyFont="1" applyBorder="1" applyAlignment="1">
      <alignment horizontal="center" vertical="center" wrapText="1"/>
    </xf>
    <xf numFmtId="2" fontId="88" fillId="0" borderId="10" xfId="42309" applyNumberFormat="1" applyFont="1" applyBorder="1" applyAlignment="1">
      <alignment horizontal="center" vertical="center" wrapText="1"/>
    </xf>
    <xf numFmtId="2" fontId="85" fillId="0" borderId="1" xfId="42309" applyNumberFormat="1" applyFont="1" applyBorder="1" applyAlignment="1">
      <alignment horizontal="left" vertical="center"/>
    </xf>
    <xf numFmtId="2" fontId="3" fillId="0" borderId="55" xfId="42309" applyNumberFormat="1" applyBorder="1" applyAlignment="1">
      <alignment wrapText="1"/>
    </xf>
    <xf numFmtId="2" fontId="3" fillId="0" borderId="1" xfId="42309" applyNumberFormat="1" applyBorder="1"/>
    <xf numFmtId="2" fontId="85" fillId="0" borderId="10" xfId="42309" applyNumberFormat="1" applyFont="1" applyBorder="1" applyAlignment="1">
      <alignment horizontal="center" vertical="center" wrapText="1"/>
    </xf>
    <xf numFmtId="2" fontId="82" fillId="0" borderId="3" xfId="42309" applyNumberFormat="1" applyFont="1" applyBorder="1" applyAlignment="1">
      <alignment horizontal="center" vertical="center" wrapText="1"/>
    </xf>
    <xf numFmtId="2" fontId="88" fillId="0" borderId="55" xfId="42309" applyNumberFormat="1" applyFont="1" applyBorder="1" applyAlignment="1">
      <alignment horizontal="center" vertical="center" wrapText="1"/>
    </xf>
    <xf numFmtId="2" fontId="88" fillId="0" borderId="4" xfId="42309" applyNumberFormat="1" applyFont="1" applyBorder="1" applyAlignment="1">
      <alignment horizontal="center" vertical="center" wrapText="1"/>
    </xf>
    <xf numFmtId="0" fontId="2" fillId="0" borderId="0" xfId="42309" applyFont="1" applyAlignment="1">
      <alignment wrapText="1"/>
    </xf>
    <xf numFmtId="2" fontId="84" fillId="0" borderId="39" xfId="42309" applyNumberFormat="1" applyFont="1" applyBorder="1" applyAlignment="1">
      <alignment wrapText="1"/>
    </xf>
    <xf numFmtId="2" fontId="85" fillId="0" borderId="55" xfId="42309" applyNumberFormat="1" applyFont="1" applyBorder="1" applyAlignment="1">
      <alignment horizontal="center" vertical="center" wrapText="1"/>
    </xf>
    <xf numFmtId="0" fontId="1" fillId="0" borderId="0" xfId="42309" applyFont="1"/>
    <xf numFmtId="0" fontId="1" fillId="0" borderId="0" xfId="42309" applyFont="1" applyAlignment="1">
      <alignment wrapText="1"/>
    </xf>
    <xf numFmtId="49" fontId="89" fillId="2" borderId="0" xfId="0" applyNumberFormat="1" applyFont="1" applyFill="1"/>
    <xf numFmtId="0" fontId="89" fillId="2" borderId="0" xfId="0" applyFont="1" applyFill="1" applyAlignment="1">
      <alignment wrapText="1"/>
    </xf>
    <xf numFmtId="0" fontId="89" fillId="2" borderId="0" xfId="0" applyFont="1" applyFill="1"/>
    <xf numFmtId="4" fontId="89" fillId="2" borderId="0" xfId="0" applyNumberFormat="1" applyFont="1" applyFill="1" applyAlignment="1">
      <alignment horizontal="center" vertical="center"/>
    </xf>
    <xf numFmtId="4" fontId="89" fillId="0" borderId="0" xfId="0" applyNumberFormat="1" applyFont="1" applyAlignment="1">
      <alignment horizontal="center" vertical="center"/>
    </xf>
    <xf numFmtId="49" fontId="91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3" fillId="0" borderId="0" xfId="0" applyNumberFormat="1" applyFont="1" applyAlignment="1">
      <alignment horizontal="center" vertical="center"/>
    </xf>
    <xf numFmtId="49" fontId="93" fillId="0" borderId="0" xfId="0" applyNumberFormat="1" applyFont="1" applyAlignment="1">
      <alignment horizontal="left" vertical="center" wrapText="1"/>
    </xf>
    <xf numFmtId="49" fontId="93" fillId="0" borderId="0" xfId="0" applyNumberFormat="1" applyFont="1" applyAlignment="1">
      <alignment horizontal="left" vertical="center"/>
    </xf>
    <xf numFmtId="4" fontId="93" fillId="0" borderId="0" xfId="0" applyNumberFormat="1" applyFont="1" applyAlignment="1">
      <alignment horizontal="center" vertical="center"/>
    </xf>
    <xf numFmtId="49" fontId="33" fillId="2" borderId="0" xfId="0" applyNumberFormat="1" applyFont="1" applyFill="1" applyAlignment="1" applyProtection="1">
      <alignment vertical="center"/>
    </xf>
    <xf numFmtId="0" fontId="33" fillId="2" borderId="0" xfId="0" applyNumberFormat="1" applyFont="1" applyFill="1" applyAlignment="1" applyProtection="1">
      <alignment horizontal="center" vertical="center" wrapText="1"/>
    </xf>
    <xf numFmtId="0" fontId="33" fillId="2" borderId="0" xfId="0" applyNumberFormat="1" applyFont="1" applyFill="1" applyAlignment="1" applyProtection="1">
      <alignment vertical="center"/>
    </xf>
    <xf numFmtId="4" fontId="33" fillId="2" borderId="0" xfId="0" applyNumberFormat="1" applyFont="1" applyFill="1" applyAlignment="1" applyProtection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40" borderId="2" xfId="0" applyNumberFormat="1" applyFont="1" applyFill="1" applyBorder="1" applyAlignment="1" applyProtection="1">
      <alignment vertical="center"/>
    </xf>
    <xf numFmtId="4" fontId="9" fillId="40" borderId="2" xfId="0" applyNumberFormat="1" applyFont="1" applyFill="1" applyBorder="1" applyAlignment="1" applyProtection="1">
      <alignment horizontal="center" vertical="center"/>
    </xf>
    <xf numFmtId="0" fontId="9" fillId="40" borderId="2" xfId="0" applyFont="1" applyFill="1" applyBorder="1" applyAlignment="1">
      <alignment vertical="center"/>
    </xf>
    <xf numFmtId="0" fontId="89" fillId="2" borderId="0" xfId="0" applyFont="1" applyFill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89" fillId="0" borderId="0" xfId="0" applyFont="1" applyFill="1" applyAlignment="1">
      <alignment horizontal="center" vertical="center" wrapText="1"/>
    </xf>
    <xf numFmtId="49" fontId="9" fillId="34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89" fillId="0" borderId="0" xfId="0" applyFont="1"/>
    <xf numFmtId="0" fontId="89" fillId="0" borderId="0" xfId="0" applyFont="1" applyAlignment="1">
      <alignment wrapText="1"/>
    </xf>
    <xf numFmtId="2" fontId="89" fillId="0" borderId="0" xfId="0" applyNumberFormat="1" applyFont="1"/>
    <xf numFmtId="0" fontId="8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horizontal="center" vertical="center"/>
    </xf>
    <xf numFmtId="49" fontId="9" fillId="0" borderId="60" xfId="0" applyNumberFormat="1" applyFont="1" applyFill="1" applyBorder="1" applyAlignment="1" applyProtection="1">
      <alignment horizontal="center" vertical="center"/>
    </xf>
    <xf numFmtId="0" fontId="9" fillId="0" borderId="60" xfId="0" applyNumberFormat="1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49" fontId="9" fillId="0" borderId="64" xfId="0" applyNumberFormat="1" applyFont="1" applyFill="1" applyBorder="1" applyAlignment="1" applyProtection="1">
      <alignment horizontal="center" vertical="center"/>
    </xf>
    <xf numFmtId="49" fontId="33" fillId="37" borderId="11" xfId="0" applyNumberFormat="1" applyFont="1" applyFill="1" applyBorder="1" applyAlignment="1" applyProtection="1">
      <alignment horizontal="center" vertical="center" wrapText="1"/>
    </xf>
    <xf numFmtId="49" fontId="33" fillId="2" borderId="11" xfId="0" applyNumberFormat="1" applyFont="1" applyFill="1" applyBorder="1" applyAlignment="1" applyProtection="1">
      <alignment vertical="center"/>
    </xf>
    <xf numFmtId="0" fontId="33" fillId="39" borderId="10" xfId="0" applyNumberFormat="1" applyFont="1" applyFill="1" applyBorder="1" applyAlignment="1" applyProtection="1">
      <alignment vertical="center" wrapText="1"/>
    </xf>
    <xf numFmtId="0" fontId="33" fillId="39" borderId="11" xfId="0" applyNumberFormat="1" applyFont="1" applyFill="1" applyBorder="1" applyAlignment="1" applyProtection="1">
      <alignment vertical="center" wrapText="1"/>
    </xf>
    <xf numFmtId="0" fontId="33" fillId="39" borderId="1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49" fontId="9" fillId="40" borderId="2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6" fillId="0" borderId="0" xfId="0" applyNumberFormat="1" applyFont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49" fontId="33" fillId="37" borderId="57" xfId="0" applyNumberFormat="1" applyFont="1" applyFill="1" applyBorder="1" applyAlignment="1" applyProtection="1">
      <alignment horizontal="center" vertical="center" wrapText="1"/>
    </xf>
    <xf numFmtId="0" fontId="33" fillId="37" borderId="11" xfId="0" applyNumberFormat="1" applyFont="1" applyFill="1" applyBorder="1" applyAlignment="1" applyProtection="1">
      <alignment vertical="center" wrapText="1"/>
    </xf>
    <xf numFmtId="49" fontId="33" fillId="2" borderId="57" xfId="0" applyNumberFormat="1" applyFont="1" applyFill="1" applyBorder="1" applyAlignment="1" applyProtection="1">
      <alignment horizontal="center" vertical="center"/>
    </xf>
    <xf numFmtId="49" fontId="33" fillId="39" borderId="1" xfId="0" applyNumberFormat="1" applyFont="1" applyFill="1" applyBorder="1" applyAlignment="1" applyProtection="1">
      <alignment horizontal="center" vertical="center" wrapText="1"/>
    </xf>
    <xf numFmtId="49" fontId="9" fillId="39" borderId="2" xfId="0" applyNumberFormat="1" applyFont="1" applyFill="1" applyBorder="1" applyAlignment="1" applyProtection="1">
      <alignment horizontal="center" vertical="center" wrapText="1"/>
    </xf>
    <xf numFmtId="49" fontId="33" fillId="36" borderId="5" xfId="0" applyNumberFormat="1" applyFont="1" applyFill="1" applyBorder="1" applyAlignment="1" applyProtection="1">
      <alignment horizontal="center" vertical="center"/>
    </xf>
    <xf numFmtId="49" fontId="9" fillId="36" borderId="9" xfId="0" applyNumberFormat="1" applyFont="1" applyFill="1" applyBorder="1" applyAlignment="1" applyProtection="1">
      <alignment horizontal="center" vertical="center"/>
    </xf>
    <xf numFmtId="0" fontId="93" fillId="36" borderId="6" xfId="0" applyFont="1" applyFill="1" applyBorder="1" applyAlignment="1">
      <alignment vertical="center" wrapText="1"/>
    </xf>
    <xf numFmtId="0" fontId="93" fillId="36" borderId="2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9" xfId="0" applyNumberFormat="1" applyFont="1" applyFill="1" applyBorder="1" applyAlignment="1" applyProtection="1">
      <alignment horizontal="center" vertical="center"/>
    </xf>
    <xf numFmtId="49" fontId="9" fillId="2" borderId="60" xfId="0" applyNumberFormat="1" applyFont="1" applyFill="1" applyBorder="1" applyAlignment="1" applyProtection="1">
      <alignment horizontal="center" vertical="center"/>
    </xf>
    <xf numFmtId="49" fontId="33" fillId="34" borderId="1" xfId="0" applyNumberFormat="1" applyFont="1" applyFill="1" applyBorder="1" applyAlignment="1" applyProtection="1">
      <alignment horizontal="center" vertical="center" wrapText="1"/>
    </xf>
    <xf numFmtId="49" fontId="9" fillId="34" borderId="2" xfId="0" applyNumberFormat="1" applyFont="1" applyFill="1" applyBorder="1" applyAlignment="1" applyProtection="1">
      <alignment horizontal="center" vertical="center" wrapText="1"/>
    </xf>
    <xf numFmtId="0" fontId="33" fillId="34" borderId="10" xfId="0" applyNumberFormat="1" applyFont="1" applyFill="1" applyBorder="1" applyAlignment="1" applyProtection="1">
      <alignment vertical="center"/>
    </xf>
    <xf numFmtId="0" fontId="33" fillId="34" borderId="11" xfId="0" applyNumberFormat="1" applyFont="1" applyFill="1" applyBorder="1" applyAlignment="1" applyProtection="1">
      <alignment vertical="center" wrapText="1"/>
    </xf>
    <xf numFmtId="49" fontId="33" fillId="36" borderId="9" xfId="0" applyNumberFormat="1" applyFont="1" applyFill="1" applyBorder="1" applyAlignment="1" applyProtection="1">
      <alignment horizontal="center" vertical="center"/>
    </xf>
    <xf numFmtId="0" fontId="33" fillId="36" borderId="6" xfId="0" applyNumberFormat="1" applyFont="1" applyFill="1" applyBorder="1" applyAlignment="1" applyProtection="1">
      <alignment horizontal="left" vertical="center" wrapText="1"/>
    </xf>
    <xf numFmtId="0" fontId="33" fillId="36" borderId="6" xfId="0" applyNumberFormat="1" applyFont="1" applyFill="1" applyBorder="1" applyAlignment="1" applyProtection="1">
      <alignment horizontal="center" vertical="center" wrapText="1"/>
    </xf>
    <xf numFmtId="0" fontId="89" fillId="0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89" fillId="2" borderId="2" xfId="0" applyFont="1" applyFill="1" applyBorder="1" applyAlignment="1">
      <alignment vertical="center" wrapText="1"/>
    </xf>
    <xf numFmtId="0" fontId="89" fillId="2" borderId="2" xfId="0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 applyProtection="1">
      <alignment horizontal="center" vertical="center"/>
    </xf>
    <xf numFmtId="0" fontId="89" fillId="0" borderId="2" xfId="0" applyFont="1" applyFill="1" applyBorder="1" applyAlignment="1">
      <alignment vertical="center"/>
    </xf>
    <xf numFmtId="49" fontId="33" fillId="2" borderId="9" xfId="0" applyNumberFormat="1" applyFont="1" applyFill="1" applyBorder="1" applyAlignment="1" applyProtection="1">
      <alignment horizontal="center" vertical="center"/>
    </xf>
    <xf numFmtId="49" fontId="33" fillId="2" borderId="11" xfId="0" applyNumberFormat="1" applyFont="1" applyFill="1" applyBorder="1" applyAlignment="1" applyProtection="1">
      <alignment horizontal="left" vertical="center"/>
    </xf>
    <xf numFmtId="0" fontId="93" fillId="36" borderId="6" xfId="0" applyFont="1" applyFill="1" applyBorder="1" applyAlignment="1">
      <alignment horizontal="center" vertical="center"/>
    </xf>
    <xf numFmtId="0" fontId="93" fillId="0" borderId="2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93" fillId="36" borderId="2" xfId="0" applyFont="1" applyFill="1" applyBorder="1" applyAlignment="1">
      <alignment vertical="center" wrapText="1"/>
    </xf>
    <xf numFmtId="0" fontId="9" fillId="2" borderId="60" xfId="0" applyNumberFormat="1" applyFont="1" applyFill="1" applyBorder="1" applyAlignment="1" applyProtection="1">
      <alignment horizontal="left" vertical="center" wrapText="1"/>
    </xf>
    <xf numFmtId="0" fontId="9" fillId="2" borderId="60" xfId="0" applyNumberFormat="1" applyFont="1" applyFill="1" applyBorder="1" applyAlignment="1" applyProtection="1">
      <alignment horizontal="center" vertical="center" wrapText="1"/>
    </xf>
    <xf numFmtId="49" fontId="9" fillId="2" borderId="12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34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3" fillId="40" borderId="10" xfId="0" applyNumberFormat="1" applyFont="1" applyFill="1" applyBorder="1" applyAlignment="1" applyProtection="1">
      <alignment horizontal="center" vertical="center" wrapText="1"/>
    </xf>
    <xf numFmtId="0" fontId="33" fillId="4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9" fillId="0" borderId="60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9" fontId="9" fillId="35" borderId="10" xfId="0" applyNumberFormat="1" applyFont="1" applyFill="1" applyBorder="1" applyAlignment="1" applyProtection="1">
      <alignment horizontal="center" vertical="center"/>
    </xf>
    <xf numFmtId="49" fontId="9" fillId="35" borderId="11" xfId="0" applyNumberFormat="1" applyFont="1" applyFill="1" applyBorder="1" applyAlignment="1" applyProtection="1">
      <alignment horizontal="center" vertical="center"/>
    </xf>
    <xf numFmtId="49" fontId="51" fillId="0" borderId="0" xfId="202" applyNumberFormat="1" applyFont="1" applyFill="1" applyAlignment="1">
      <alignment horizontal="center" vertical="center" wrapText="1"/>
    </xf>
    <xf numFmtId="49" fontId="33" fillId="0" borderId="0" xfId="202" applyNumberFormat="1" applyFont="1" applyFill="1" applyAlignment="1">
      <alignment horizontal="center" vertical="top" wrapText="1"/>
    </xf>
    <xf numFmtId="49" fontId="93" fillId="0" borderId="0" xfId="202" applyNumberFormat="1" applyFont="1" applyFill="1" applyAlignment="1">
      <alignment horizontal="center" vertical="top" wrapText="1"/>
    </xf>
    <xf numFmtId="0" fontId="33" fillId="35" borderId="47" xfId="0" applyNumberFormat="1" applyFont="1" applyFill="1" applyBorder="1" applyAlignment="1" applyProtection="1">
      <alignment horizontal="center" vertical="center" wrapText="1"/>
    </xf>
    <xf numFmtId="0" fontId="33" fillId="35" borderId="44" xfId="0" applyNumberFormat="1" applyFont="1" applyFill="1" applyBorder="1" applyAlignment="1" applyProtection="1">
      <alignment horizontal="center" vertical="center" wrapText="1"/>
    </xf>
    <xf numFmtId="0" fontId="33" fillId="39" borderId="10" xfId="0" applyNumberFormat="1" applyFont="1" applyFill="1" applyBorder="1" applyAlignment="1" applyProtection="1">
      <alignment horizontal="left" vertical="center" wrapText="1"/>
    </xf>
    <xf numFmtId="0" fontId="33" fillId="39" borderId="11" xfId="0" applyNumberFormat="1" applyFont="1" applyFill="1" applyBorder="1" applyAlignment="1" applyProtection="1">
      <alignment horizontal="left" vertical="center" wrapText="1"/>
    </xf>
    <xf numFmtId="0" fontId="33" fillId="34" borderId="10" xfId="0" applyNumberFormat="1" applyFont="1" applyFill="1" applyBorder="1" applyAlignment="1" applyProtection="1">
      <alignment horizontal="left" vertical="center" wrapText="1"/>
    </xf>
    <xf numFmtId="0" fontId="33" fillId="34" borderId="11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37" xfId="0" applyNumberFormat="1" applyFont="1" applyBorder="1" applyAlignment="1" applyProtection="1">
      <alignment horizontal="center" vertical="center" wrapText="1"/>
    </xf>
    <xf numFmtId="49" fontId="9" fillId="0" borderId="45" xfId="0" applyNumberFormat="1" applyFont="1" applyBorder="1" applyAlignment="1" applyProtection="1">
      <alignment horizontal="center"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49" fontId="9" fillId="0" borderId="46" xfId="0" applyNumberFormat="1" applyFont="1" applyBorder="1" applyAlignment="1" applyProtection="1">
      <alignment horizontal="center" vertical="center" wrapText="1"/>
    </xf>
    <xf numFmtId="0" fontId="33" fillId="40" borderId="15" xfId="0" applyNumberFormat="1" applyFont="1" applyFill="1" applyBorder="1" applyAlignment="1" applyProtection="1">
      <alignment horizontal="center" vertical="center" wrapText="1"/>
    </xf>
    <xf numFmtId="0" fontId="33" fillId="40" borderId="17" xfId="0" applyNumberFormat="1" applyFont="1" applyFill="1" applyBorder="1" applyAlignment="1" applyProtection="1">
      <alignment horizontal="center" vertical="center" wrapText="1"/>
    </xf>
    <xf numFmtId="0" fontId="33" fillId="40" borderId="33" xfId="0" applyNumberFormat="1" applyFont="1" applyFill="1" applyBorder="1" applyAlignment="1" applyProtection="1">
      <alignment horizontal="center" vertical="center" wrapText="1"/>
    </xf>
    <xf numFmtId="49" fontId="9" fillId="2" borderId="59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60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93" fillId="0" borderId="60" xfId="0" applyFont="1" applyFill="1" applyBorder="1" applyAlignment="1">
      <alignment horizontal="left" vertical="center" wrapText="1"/>
    </xf>
    <xf numFmtId="0" fontId="93" fillId="0" borderId="6" xfId="0" applyFont="1" applyFill="1" applyBorder="1" applyAlignment="1">
      <alignment horizontal="left" vertical="center" wrapText="1"/>
    </xf>
    <xf numFmtId="49" fontId="33" fillId="2" borderId="61" xfId="0" applyNumberFormat="1" applyFont="1" applyFill="1" applyBorder="1" applyAlignment="1" applyProtection="1">
      <alignment horizontal="center" vertical="center" wrapText="1"/>
    </xf>
    <xf numFmtId="49" fontId="33" fillId="2" borderId="20" xfId="0" applyNumberFormat="1" applyFont="1" applyFill="1" applyBorder="1" applyAlignment="1" applyProtection="1">
      <alignment horizontal="center" vertical="center" wrapText="1"/>
    </xf>
    <xf numFmtId="0" fontId="33" fillId="35" borderId="61" xfId="0" applyNumberFormat="1" applyFont="1" applyFill="1" applyBorder="1" applyAlignment="1" applyProtection="1">
      <alignment horizontal="center" vertical="center" wrapText="1"/>
    </xf>
    <xf numFmtId="0" fontId="33" fillId="35" borderId="20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33" fillId="35" borderId="57" xfId="0" applyNumberFormat="1" applyFont="1" applyFill="1" applyBorder="1" applyAlignment="1" applyProtection="1">
      <alignment horizontal="center" vertical="center" wrapText="1"/>
    </xf>
    <xf numFmtId="0" fontId="33" fillId="35" borderId="11" xfId="0" applyNumberFormat="1" applyFont="1" applyFill="1" applyBorder="1" applyAlignment="1" applyProtection="1">
      <alignment horizontal="center" vertical="center" wrapText="1"/>
    </xf>
    <xf numFmtId="0" fontId="86" fillId="0" borderId="58" xfId="42309" applyFont="1" applyBorder="1" applyAlignment="1">
      <alignment horizontal="center" vertical="center" wrapText="1"/>
    </xf>
    <xf numFmtId="0" fontId="86" fillId="0" borderId="65" xfId="42309" applyFont="1" applyBorder="1" applyAlignment="1">
      <alignment horizontal="center" vertical="center" wrapText="1"/>
    </xf>
    <xf numFmtId="0" fontId="86" fillId="0" borderId="63" xfId="42309" applyFont="1" applyBorder="1" applyAlignment="1">
      <alignment horizontal="center" vertical="center" wrapText="1"/>
    </xf>
    <xf numFmtId="0" fontId="86" fillId="0" borderId="45" xfId="42309" applyFont="1" applyBorder="1" applyAlignment="1">
      <alignment horizontal="center" vertical="center" wrapText="1"/>
    </xf>
    <xf numFmtId="0" fontId="86" fillId="0" borderId="15" xfId="42309" applyFont="1" applyBorder="1" applyAlignment="1">
      <alignment horizontal="center" vertical="center" wrapText="1"/>
    </xf>
    <xf numFmtId="0" fontId="86" fillId="0" borderId="74" xfId="42309" applyFont="1" applyBorder="1" applyAlignment="1">
      <alignment horizontal="center" vertical="center" wrapText="1"/>
    </xf>
    <xf numFmtId="0" fontId="85" fillId="0" borderId="57" xfId="42309" applyFont="1" applyBorder="1" applyAlignment="1">
      <alignment horizontal="center" vertical="center"/>
    </xf>
    <xf numFmtId="0" fontId="85" fillId="0" borderId="11" xfId="42309" applyFont="1" applyBorder="1" applyAlignment="1">
      <alignment horizontal="center" vertical="center"/>
    </xf>
    <xf numFmtId="0" fontId="85" fillId="0" borderId="56" xfId="42309" applyFont="1" applyBorder="1" applyAlignment="1">
      <alignment horizontal="center" vertical="center"/>
    </xf>
    <xf numFmtId="0" fontId="86" fillId="2" borderId="61" xfId="42309" applyFont="1" applyFill="1" applyBorder="1" applyAlignment="1">
      <alignment horizontal="center" vertical="center" wrapText="1"/>
    </xf>
    <xf numFmtId="0" fontId="86" fillId="2" borderId="20" xfId="42309" applyFont="1" applyFill="1" applyBorder="1" applyAlignment="1">
      <alignment horizontal="center" vertical="center" wrapText="1"/>
    </xf>
    <xf numFmtId="0" fontId="86" fillId="2" borderId="62" xfId="42309" applyFont="1" applyFill="1" applyBorder="1" applyAlignment="1">
      <alignment horizontal="center" vertical="center" wrapText="1"/>
    </xf>
    <xf numFmtId="0" fontId="85" fillId="0" borderId="52" xfId="42309" applyFont="1" applyBorder="1" applyAlignment="1">
      <alignment horizontal="center" vertical="center"/>
    </xf>
    <xf numFmtId="0" fontId="85" fillId="0" borderId="8" xfId="42309" applyFont="1" applyBorder="1" applyAlignment="1">
      <alignment horizontal="center" vertical="center"/>
    </xf>
    <xf numFmtId="0" fontId="85" fillId="0" borderId="34" xfId="42309" applyFont="1" applyBorder="1" applyAlignment="1">
      <alignment horizontal="center" vertical="center"/>
    </xf>
    <xf numFmtId="0" fontId="86" fillId="2" borderId="58" xfId="42309" applyFont="1" applyFill="1" applyBorder="1" applyAlignment="1">
      <alignment horizontal="center" vertical="center" wrapText="1"/>
    </xf>
    <xf numFmtId="0" fontId="86" fillId="2" borderId="65" xfId="42309" applyFont="1" applyFill="1" applyBorder="1" applyAlignment="1">
      <alignment horizontal="center" vertical="center" wrapText="1"/>
    </xf>
    <xf numFmtId="0" fontId="86" fillId="2" borderId="63" xfId="42309" applyFont="1" applyFill="1" applyBorder="1" applyAlignment="1">
      <alignment horizontal="center" vertical="center" wrapText="1"/>
    </xf>
    <xf numFmtId="0" fontId="83" fillId="0" borderId="68" xfId="42309" applyFont="1" applyBorder="1" applyAlignment="1">
      <alignment horizontal="left" vertical="center" wrapText="1"/>
    </xf>
    <xf numFmtId="0" fontId="83" fillId="0" borderId="13" xfId="42309" applyFont="1" applyBorder="1" applyAlignment="1">
      <alignment horizontal="left" vertical="center" wrapText="1"/>
    </xf>
    <xf numFmtId="0" fontId="83" fillId="0" borderId="69" xfId="42309" applyFont="1" applyBorder="1" applyAlignment="1">
      <alignment horizontal="left" vertical="center" wrapText="1"/>
    </xf>
    <xf numFmtId="0" fontId="83" fillId="0" borderId="52" xfId="42309" applyFont="1" applyBorder="1" applyAlignment="1">
      <alignment horizontal="left" vertical="center" wrapText="1"/>
    </xf>
    <xf numFmtId="0" fontId="83" fillId="0" borderId="8" xfId="42309" applyFont="1" applyBorder="1" applyAlignment="1">
      <alignment horizontal="left" vertical="center" wrapText="1"/>
    </xf>
    <xf numFmtId="0" fontId="83" fillId="0" borderId="34" xfId="42309" applyFont="1" applyBorder="1" applyAlignment="1">
      <alignment horizontal="left" vertical="center" wrapText="1"/>
    </xf>
    <xf numFmtId="0" fontId="83" fillId="0" borderId="53" xfId="42309" applyFont="1" applyBorder="1" applyAlignment="1">
      <alignment horizontal="left" vertical="center" wrapText="1"/>
    </xf>
    <xf numFmtId="0" fontId="83" fillId="0" borderId="42" xfId="42309" applyFont="1" applyBorder="1" applyAlignment="1">
      <alignment horizontal="left" vertical="center" wrapText="1"/>
    </xf>
    <xf numFmtId="0" fontId="83" fillId="0" borderId="66" xfId="42309" applyFont="1" applyBorder="1" applyAlignment="1">
      <alignment horizontal="left" vertical="center" wrapText="1"/>
    </xf>
    <xf numFmtId="0" fontId="84" fillId="35" borderId="0" xfId="42309" applyFont="1" applyFill="1" applyBorder="1" applyAlignment="1">
      <alignment horizontal="center" wrapText="1"/>
    </xf>
    <xf numFmtId="0" fontId="84" fillId="35" borderId="39" xfId="42309" applyFont="1" applyFill="1" applyBorder="1" applyAlignment="1">
      <alignment horizontal="center" wrapText="1"/>
    </xf>
    <xf numFmtId="0" fontId="86" fillId="0" borderId="47" xfId="42309" applyFont="1" applyBorder="1" applyAlignment="1">
      <alignment horizontal="center" vertical="center" wrapText="1"/>
    </xf>
    <xf numFmtId="0" fontId="86" fillId="0" borderId="44" xfId="42309" applyFont="1" applyBorder="1" applyAlignment="1">
      <alignment horizontal="center" vertical="center" wrapText="1"/>
    </xf>
    <xf numFmtId="0" fontId="86" fillId="0" borderId="49" xfId="42309" applyFont="1" applyBorder="1" applyAlignment="1">
      <alignment horizontal="center" vertical="center" wrapText="1"/>
    </xf>
    <xf numFmtId="0" fontId="84" fillId="34" borderId="0" xfId="42309" applyFont="1" applyFill="1" applyBorder="1" applyAlignment="1">
      <alignment horizontal="center" wrapText="1"/>
    </xf>
    <xf numFmtId="0" fontId="84" fillId="34" borderId="39" xfId="42309" applyFont="1" applyFill="1" applyBorder="1" applyAlignment="1">
      <alignment horizontal="center" wrapText="1"/>
    </xf>
    <xf numFmtId="0" fontId="86" fillId="2" borderId="47" xfId="42309" applyFont="1" applyFill="1" applyBorder="1" applyAlignment="1">
      <alignment horizontal="center" vertical="center" wrapText="1"/>
    </xf>
    <xf numFmtId="0" fontId="86" fillId="2" borderId="44" xfId="42309" applyFont="1" applyFill="1" applyBorder="1" applyAlignment="1">
      <alignment horizontal="center" vertical="center" wrapText="1"/>
    </xf>
    <xf numFmtId="0" fontId="86" fillId="2" borderId="49" xfId="42309" applyFont="1" applyFill="1" applyBorder="1" applyAlignment="1">
      <alignment horizontal="center" vertical="center" wrapText="1"/>
    </xf>
    <xf numFmtId="0" fontId="86" fillId="2" borderId="45" xfId="42309" applyFont="1" applyFill="1" applyBorder="1" applyAlignment="1">
      <alignment horizontal="center" vertical="center" wrapText="1"/>
    </xf>
    <xf numFmtId="0" fontId="86" fillId="2" borderId="15" xfId="42309" applyFont="1" applyFill="1" applyBorder="1" applyAlignment="1">
      <alignment horizontal="center" vertical="center" wrapText="1"/>
    </xf>
    <xf numFmtId="0" fontId="86" fillId="2" borderId="74" xfId="42309" applyFont="1" applyFill="1" applyBorder="1" applyAlignment="1">
      <alignment horizontal="center" vertical="center" wrapText="1"/>
    </xf>
    <xf numFmtId="0" fontId="84" fillId="38" borderId="0" xfId="42309" applyFont="1" applyFill="1" applyBorder="1" applyAlignment="1">
      <alignment horizontal="center" wrapText="1"/>
    </xf>
    <xf numFmtId="0" fontId="84" fillId="38" borderId="13" xfId="42309" applyFont="1" applyFill="1" applyBorder="1" applyAlignment="1">
      <alignment horizontal="center" wrapText="1"/>
    </xf>
    <xf numFmtId="4" fontId="33" fillId="0" borderId="0" xfId="0" applyNumberFormat="1" applyFont="1" applyAlignment="1" applyProtection="1">
      <alignment vertical="center"/>
    </xf>
    <xf numFmtId="4" fontId="35" fillId="40" borderId="38" xfId="0" applyNumberFormat="1" applyFont="1" applyFill="1" applyBorder="1" applyAlignment="1" applyProtection="1">
      <alignment horizontal="center" vertical="center" wrapText="1"/>
    </xf>
    <xf numFmtId="4" fontId="35" fillId="40" borderId="35" xfId="0" applyNumberFormat="1" applyFont="1" applyFill="1" applyBorder="1" applyAlignment="1" applyProtection="1">
      <alignment horizontal="center" vertical="center" wrapText="1"/>
    </xf>
    <xf numFmtId="4" fontId="35" fillId="40" borderId="43" xfId="0" applyNumberFormat="1" applyFont="1" applyFill="1" applyBorder="1" applyAlignment="1" applyProtection="1">
      <alignment horizontal="center" vertical="center" wrapText="1"/>
    </xf>
    <xf numFmtId="4" fontId="33" fillId="37" borderId="11" xfId="0" applyNumberFormat="1" applyFont="1" applyFill="1" applyBorder="1" applyAlignment="1" applyProtection="1">
      <alignment vertical="center" wrapText="1"/>
    </xf>
    <xf numFmtId="4" fontId="33" fillId="2" borderId="11" xfId="0" applyNumberFormat="1" applyFont="1" applyFill="1" applyBorder="1" applyAlignment="1" applyProtection="1">
      <alignment vertical="center"/>
    </xf>
    <xf numFmtId="4" fontId="33" fillId="39" borderId="11" xfId="0" applyNumberFormat="1" applyFont="1" applyFill="1" applyBorder="1" applyAlignment="1" applyProtection="1">
      <alignment vertical="center" wrapText="1"/>
    </xf>
    <xf numFmtId="4" fontId="89" fillId="36" borderId="8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 applyProtection="1">
      <alignment horizontal="center" vertical="center" wrapText="1"/>
    </xf>
    <xf numFmtId="4" fontId="33" fillId="34" borderId="11" xfId="0" applyNumberFormat="1" applyFont="1" applyFill="1" applyBorder="1" applyAlignment="1" applyProtection="1">
      <alignment vertical="center" wrapText="1"/>
    </xf>
    <xf numFmtId="4" fontId="9" fillId="36" borderId="7" xfId="0" applyNumberFormat="1" applyFont="1" applyFill="1" applyBorder="1" applyAlignment="1" applyProtection="1">
      <alignment horizontal="right" vertical="center" wrapText="1"/>
    </xf>
    <xf numFmtId="4" fontId="89" fillId="0" borderId="10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89" fillId="2" borderId="10" xfId="0" applyNumberFormat="1" applyFont="1" applyFill="1" applyBorder="1" applyAlignment="1">
      <alignment horizontal="center" vertical="center"/>
    </xf>
    <xf numFmtId="4" fontId="33" fillId="36" borderId="7" xfId="0" applyNumberFormat="1" applyFont="1" applyFill="1" applyBorder="1" applyAlignment="1" applyProtection="1">
      <alignment horizontal="center" vertical="center" wrapText="1"/>
    </xf>
    <xf numFmtId="4" fontId="89" fillId="36" borderId="34" xfId="0" applyNumberFormat="1" applyFont="1" applyFill="1" applyBorder="1" applyAlignment="1">
      <alignment horizontal="center" vertical="center"/>
    </xf>
    <xf numFmtId="4" fontId="89" fillId="0" borderId="56" xfId="0" applyNumberFormat="1" applyFont="1" applyFill="1" applyBorder="1" applyAlignment="1">
      <alignment horizontal="center" vertical="center"/>
    </xf>
    <xf numFmtId="4" fontId="93" fillId="0" borderId="10" xfId="0" applyNumberFormat="1" applyFont="1" applyFill="1" applyBorder="1" applyAlignment="1">
      <alignment vertical="center" wrapText="1"/>
    </xf>
    <xf numFmtId="4" fontId="93" fillId="0" borderId="8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/>
    </xf>
    <xf numFmtId="4" fontId="89" fillId="2" borderId="0" xfId="0" applyNumberFormat="1" applyFont="1" applyFill="1" applyAlignment="1">
      <alignment horizontal="center"/>
    </xf>
    <xf numFmtId="4" fontId="89" fillId="0" borderId="0" xfId="0" applyNumberFormat="1" applyFont="1" applyAlignment="1">
      <alignment horizontal="center"/>
    </xf>
    <xf numFmtId="4" fontId="90" fillId="2" borderId="0" xfId="0" applyNumberFormat="1" applyFont="1" applyFill="1" applyAlignment="1">
      <alignment horizontal="center"/>
    </xf>
    <xf numFmtId="4" fontId="9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Alignment="1">
      <alignment horizontal="center"/>
    </xf>
    <xf numFmtId="4" fontId="92" fillId="0" borderId="0" xfId="0" applyNumberFormat="1" applyFont="1" applyAlignment="1">
      <alignment horizontal="center"/>
    </xf>
    <xf numFmtId="4" fontId="90" fillId="0" borderId="0" xfId="0" applyNumberFormat="1" applyFont="1" applyAlignment="1">
      <alignment horizontal="center"/>
    </xf>
    <xf numFmtId="4" fontId="93" fillId="0" borderId="0" xfId="0" applyNumberFormat="1" applyFont="1" applyAlignment="1">
      <alignment horizontal="center"/>
    </xf>
    <xf numFmtId="4" fontId="94" fillId="0" borderId="0" xfId="0" applyNumberFormat="1" applyFont="1" applyAlignment="1">
      <alignment horizontal="center"/>
    </xf>
    <xf numFmtId="4" fontId="95" fillId="0" borderId="0" xfId="0" applyNumberFormat="1" applyFont="1" applyAlignment="1">
      <alignment horizontal="center"/>
    </xf>
    <xf numFmtId="4" fontId="33" fillId="2" borderId="0" xfId="0" applyNumberFormat="1" applyFont="1" applyFill="1" applyAlignment="1" applyProtection="1">
      <alignment horizontal="center"/>
    </xf>
    <xf numFmtId="4" fontId="96" fillId="2" borderId="0" xfId="0" applyNumberFormat="1" applyFont="1" applyFill="1" applyAlignment="1" applyProtection="1">
      <alignment horizontal="center"/>
      <protection locked="0"/>
    </xf>
    <xf numFmtId="4" fontId="9" fillId="2" borderId="0" xfId="0" applyNumberFormat="1" applyFont="1" applyFill="1" applyAlignment="1" applyProtection="1">
      <alignment horizontal="center"/>
      <protection locked="0"/>
    </xf>
    <xf numFmtId="4" fontId="35" fillId="40" borderId="50" xfId="0" applyNumberFormat="1" applyFont="1" applyFill="1" applyBorder="1" applyAlignment="1" applyProtection="1">
      <alignment horizontal="center" wrapText="1"/>
    </xf>
    <xf numFmtId="4" fontId="35" fillId="40" borderId="39" xfId="0" applyNumberFormat="1" applyFont="1" applyFill="1" applyBorder="1" applyAlignment="1" applyProtection="1">
      <alignment horizontal="center" wrapText="1"/>
    </xf>
    <xf numFmtId="4" fontId="35" fillId="40" borderId="40" xfId="0" applyNumberFormat="1" applyFont="1" applyFill="1" applyBorder="1" applyAlignment="1" applyProtection="1">
      <alignment horizontal="center" wrapText="1"/>
    </xf>
    <xf numFmtId="4" fontId="33" fillId="40" borderId="2" xfId="0" applyNumberFormat="1" applyFont="1" applyFill="1" applyBorder="1" applyAlignment="1">
      <alignment horizontal="center"/>
    </xf>
    <xf numFmtId="4" fontId="33" fillId="40" borderId="2" xfId="0" applyNumberFormat="1" applyFont="1" applyFill="1" applyBorder="1" applyAlignment="1">
      <alignment horizontal="center" wrapText="1"/>
    </xf>
    <xf numFmtId="4" fontId="35" fillId="40" borderId="51" xfId="0" applyNumberFormat="1" applyFont="1" applyFill="1" applyBorder="1" applyAlignment="1" applyProtection="1">
      <alignment horizontal="center" wrapText="1"/>
    </xf>
    <xf numFmtId="4" fontId="35" fillId="40" borderId="0" xfId="0" applyNumberFormat="1" applyFont="1" applyFill="1" applyBorder="1" applyAlignment="1" applyProtection="1">
      <alignment horizontal="center" wrapText="1"/>
    </xf>
    <xf numFmtId="4" fontId="35" fillId="40" borderId="41" xfId="0" applyNumberFormat="1" applyFont="1" applyFill="1" applyBorder="1" applyAlignment="1" applyProtection="1">
      <alignment horizontal="center" wrapText="1"/>
    </xf>
    <xf numFmtId="4" fontId="35" fillId="40" borderId="52" xfId="0" applyNumberFormat="1" applyFont="1" applyFill="1" applyBorder="1" applyAlignment="1" applyProtection="1">
      <alignment horizontal="center" wrapText="1"/>
    </xf>
    <xf numFmtId="4" fontId="35" fillId="40" borderId="8" xfId="0" applyNumberFormat="1" applyFont="1" applyFill="1" applyBorder="1" applyAlignment="1" applyProtection="1">
      <alignment horizontal="center" wrapText="1"/>
    </xf>
    <xf numFmtId="4" fontId="35" fillId="40" borderId="34" xfId="0" applyNumberFormat="1" applyFont="1" applyFill="1" applyBorder="1" applyAlignment="1" applyProtection="1">
      <alignment horizontal="center" wrapText="1"/>
    </xf>
    <xf numFmtId="4" fontId="33" fillId="40" borderId="48" xfId="1" applyNumberFormat="1" applyFont="1" applyFill="1" applyBorder="1" applyAlignment="1">
      <alignment horizontal="center" wrapText="1"/>
    </xf>
    <xf numFmtId="4" fontId="33" fillId="40" borderId="3" xfId="1" applyNumberFormat="1" applyFont="1" applyFill="1" applyBorder="1" applyAlignment="1">
      <alignment horizontal="center" wrapText="1"/>
    </xf>
    <xf numFmtId="4" fontId="33" fillId="40" borderId="4" xfId="1" applyNumberFormat="1" applyFont="1" applyFill="1" applyBorder="1" applyAlignment="1">
      <alignment horizontal="center" wrapText="1"/>
    </xf>
    <xf numFmtId="4" fontId="33" fillId="40" borderId="2" xfId="0" applyNumberFormat="1" applyFont="1" applyFill="1" applyBorder="1" applyAlignment="1">
      <alignment horizontal="center" wrapText="1"/>
    </xf>
    <xf numFmtId="4" fontId="96" fillId="0" borderId="2" xfId="0" applyNumberFormat="1" applyFont="1" applyFill="1" applyBorder="1" applyAlignment="1" applyProtection="1">
      <alignment horizontal="center"/>
      <protection locked="0"/>
    </xf>
    <xf numFmtId="4" fontId="9" fillId="0" borderId="2" xfId="0" applyNumberFormat="1" applyFont="1" applyFill="1" applyBorder="1" applyAlignment="1" applyProtection="1">
      <alignment horizontal="center"/>
      <protection locked="0"/>
    </xf>
    <xf numFmtId="4" fontId="33" fillId="37" borderId="11" xfId="0" applyNumberFormat="1" applyFont="1" applyFill="1" applyBorder="1" applyAlignment="1" applyProtection="1">
      <alignment horizontal="center" wrapText="1"/>
    </xf>
    <xf numFmtId="4" fontId="33" fillId="2" borderId="11" xfId="0" applyNumberFormat="1" applyFont="1" applyFill="1" applyBorder="1" applyAlignment="1" applyProtection="1">
      <alignment horizontal="center"/>
    </xf>
    <xf numFmtId="4" fontId="33" fillId="39" borderId="11" xfId="0" applyNumberFormat="1" applyFont="1" applyFill="1" applyBorder="1" applyAlignment="1" applyProtection="1">
      <alignment horizontal="center" wrapText="1"/>
    </xf>
    <xf numFmtId="4" fontId="33" fillId="36" borderId="52" xfId="0" applyNumberFormat="1" applyFont="1" applyFill="1" applyBorder="1" applyAlignment="1" applyProtection="1">
      <alignment horizontal="center" wrapText="1"/>
    </xf>
    <xf numFmtId="4" fontId="33" fillId="36" borderId="7" xfId="0" applyNumberFormat="1" applyFont="1" applyFill="1" applyBorder="1" applyAlignment="1" applyProtection="1">
      <alignment horizontal="center" wrapText="1"/>
    </xf>
    <xf numFmtId="4" fontId="91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 applyProtection="1">
      <alignment horizontal="center" wrapText="1"/>
    </xf>
    <xf numFmtId="4" fontId="9" fillId="2" borderId="8" xfId="0" applyNumberFormat="1" applyFont="1" applyFill="1" applyBorder="1" applyAlignment="1" applyProtection="1">
      <alignment horizontal="center" wrapText="1"/>
    </xf>
    <xf numFmtId="4" fontId="9" fillId="2" borderId="7" xfId="0" applyNumberFormat="1" applyFont="1" applyFill="1" applyBorder="1" applyAlignment="1" applyProtection="1">
      <alignment horizontal="center" wrapText="1"/>
    </xf>
    <xf numFmtId="4" fontId="9" fillId="2" borderId="51" xfId="0" applyNumberFormat="1" applyFont="1" applyFill="1" applyBorder="1" applyAlignment="1" applyProtection="1">
      <alignment horizontal="center" wrapText="1"/>
    </xf>
    <xf numFmtId="4" fontId="9" fillId="2" borderId="35" xfId="0" applyNumberFormat="1" applyFont="1" applyFill="1" applyBorder="1" applyAlignment="1" applyProtection="1">
      <alignment horizontal="center" wrapText="1"/>
    </xf>
    <xf numFmtId="4" fontId="33" fillId="34" borderId="11" xfId="0" applyNumberFormat="1" applyFont="1" applyFill="1" applyBorder="1" applyAlignment="1" applyProtection="1">
      <alignment horizontal="center" wrapText="1"/>
    </xf>
    <xf numFmtId="4" fontId="33" fillId="36" borderId="1" xfId="0" applyNumberFormat="1" applyFont="1" applyFill="1" applyBorder="1" applyAlignment="1" applyProtection="1">
      <alignment horizontal="center" wrapText="1"/>
    </xf>
    <xf numFmtId="4" fontId="33" fillId="36" borderId="8" xfId="0" applyNumberFormat="1" applyFont="1" applyFill="1" applyBorder="1" applyAlignment="1" applyProtection="1">
      <alignment horizontal="center" wrapText="1"/>
    </xf>
    <xf numFmtId="4" fontId="33" fillId="36" borderId="5" xfId="0" applyNumberFormat="1" applyFont="1" applyFill="1" applyBorder="1" applyAlignment="1" applyProtection="1">
      <alignment horizontal="center" wrapText="1"/>
    </xf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2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4" fontId="96" fillId="0" borderId="2" xfId="0" applyNumberFormat="1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 applyProtection="1">
      <alignment horizontal="center" wrapText="1"/>
    </xf>
    <xf numFmtId="4" fontId="9" fillId="2" borderId="52" xfId="0" applyNumberFormat="1" applyFont="1" applyFill="1" applyBorder="1" applyAlignment="1" applyProtection="1">
      <alignment horizontal="center" wrapText="1"/>
    </xf>
    <xf numFmtId="4" fontId="33" fillId="2" borderId="7" xfId="0" applyNumberFormat="1" applyFont="1" applyFill="1" applyBorder="1" applyAlignment="1" applyProtection="1">
      <alignment horizontal="center" wrapText="1"/>
    </xf>
    <xf numFmtId="4" fontId="9" fillId="2" borderId="2" xfId="0" applyNumberFormat="1" applyFont="1" applyFill="1" applyBorder="1" applyAlignment="1" applyProtection="1">
      <alignment horizontal="center" wrapText="1"/>
    </xf>
    <xf numFmtId="4" fontId="9" fillId="36" borderId="52" xfId="0" applyNumberFormat="1" applyFont="1" applyFill="1" applyBorder="1" applyAlignment="1" applyProtection="1">
      <alignment horizontal="center" wrapText="1"/>
    </xf>
    <xf numFmtId="4" fontId="9" fillId="36" borderId="7" xfId="0" applyNumberFormat="1" applyFont="1" applyFill="1" applyBorder="1" applyAlignment="1" applyProtection="1">
      <alignment horizontal="center" wrapText="1"/>
    </xf>
    <xf numFmtId="4" fontId="9" fillId="2" borderId="57" xfId="0" applyNumberFormat="1" applyFont="1" applyFill="1" applyBorder="1" applyAlignment="1" applyProtection="1">
      <alignment horizontal="center" wrapText="1"/>
    </xf>
    <xf numFmtId="4" fontId="9" fillId="0" borderId="2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>
      <alignment horizontal="center"/>
    </xf>
    <xf numFmtId="4" fontId="89" fillId="0" borderId="2" xfId="0" applyNumberFormat="1" applyFont="1" applyFill="1" applyBorder="1" applyAlignment="1">
      <alignment horizontal="center" wrapText="1"/>
    </xf>
    <xf numFmtId="4" fontId="89" fillId="0" borderId="2" xfId="0" applyNumberFormat="1" applyFont="1" applyFill="1" applyBorder="1" applyAlignment="1">
      <alignment horizontal="center" wrapText="1"/>
    </xf>
    <xf numFmtId="4" fontId="9" fillId="40" borderId="2" xfId="0" applyNumberFormat="1" applyFont="1" applyFill="1" applyBorder="1" applyAlignment="1" applyProtection="1">
      <alignment horizontal="center"/>
    </xf>
    <xf numFmtId="4" fontId="33" fillId="40" borderId="2" xfId="0" applyNumberFormat="1" applyFont="1" applyFill="1" applyBorder="1" applyAlignment="1" applyProtection="1">
      <alignment horizontal="center"/>
    </xf>
    <xf numFmtId="4" fontId="9" fillId="40" borderId="2" xfId="0" applyNumberFormat="1" applyFont="1" applyFill="1" applyBorder="1" applyAlignment="1" applyProtection="1">
      <alignment horizontal="center"/>
      <protection locked="0"/>
    </xf>
    <xf numFmtId="4" fontId="9" fillId="0" borderId="2" xfId="0" applyNumberFormat="1" applyFont="1" applyBorder="1" applyAlignment="1">
      <alignment horizontal="center" wrapText="1"/>
    </xf>
    <xf numFmtId="4" fontId="89" fillId="0" borderId="0" xfId="0" applyNumberFormat="1" applyFont="1" applyFill="1" applyAlignment="1">
      <alignment horizontal="center" wrapText="1"/>
    </xf>
    <xf numFmtId="4" fontId="9" fillId="34" borderId="2" xfId="0" applyNumberFormat="1" applyFont="1" applyFill="1" applyBorder="1" applyAlignment="1">
      <alignment horizontal="center"/>
    </xf>
    <xf numFmtId="4" fontId="9" fillId="0" borderId="2" xfId="0" quotePrefix="1" applyNumberFormat="1" applyFont="1" applyBorder="1" applyAlignment="1">
      <alignment horizontal="center"/>
    </xf>
    <xf numFmtId="4" fontId="9" fillId="0" borderId="2" xfId="0" quotePrefix="1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wrapText="1"/>
    </xf>
    <xf numFmtId="4" fontId="9" fillId="0" borderId="10" xfId="0" quotePrefix="1" applyNumberFormat="1" applyFont="1" applyBorder="1" applyAlignment="1">
      <alignment horizontal="center"/>
    </xf>
    <xf numFmtId="4" fontId="9" fillId="0" borderId="11" xfId="0" quotePrefix="1" applyNumberFormat="1" applyFont="1" applyBorder="1" applyAlignment="1">
      <alignment horizontal="center"/>
    </xf>
    <xf numFmtId="4" fontId="9" fillId="0" borderId="12" xfId="0" quotePrefix="1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4" fontId="9" fillId="2" borderId="0" xfId="0" applyNumberFormat="1" applyFont="1" applyFill="1" applyAlignment="1">
      <alignment horizontal="center"/>
    </xf>
  </cellXfs>
  <cellStyles count="42310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3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78"/>
  <sheetViews>
    <sheetView tabSelected="1" topLeftCell="A439" zoomScale="120" zoomScaleNormal="120" zoomScaleSheetLayoutView="85" workbookViewId="0">
      <selection activeCell="K441" sqref="K441:N441"/>
    </sheetView>
  </sheetViews>
  <sheetFormatPr defaultRowHeight="15"/>
  <cols>
    <col min="1" max="1" width="8.5703125" style="103" customWidth="1"/>
    <col min="2" max="2" width="9.7109375" style="103" customWidth="1"/>
    <col min="3" max="3" width="62.5703125" style="103" customWidth="1"/>
    <col min="4" max="4" width="6" style="181" customWidth="1"/>
    <col min="5" max="5" width="16.85546875" style="291" customWidth="1"/>
    <col min="6" max="6" width="14.28515625" style="296" customWidth="1"/>
    <col min="7" max="7" width="13.140625" style="296" customWidth="1"/>
    <col min="8" max="8" width="14" style="296" customWidth="1"/>
    <col min="9" max="9" width="14.140625" style="369" customWidth="1"/>
    <col min="10" max="10" width="11.7109375" style="296" customWidth="1"/>
    <col min="11" max="11" width="10.5703125" style="296" customWidth="1"/>
    <col min="12" max="12" width="15.7109375" style="296" customWidth="1"/>
    <col min="13" max="13" width="12.140625" style="296" customWidth="1"/>
    <col min="14" max="14" width="11.5703125" style="296" customWidth="1"/>
    <col min="15" max="15" width="16.140625" style="296" customWidth="1"/>
    <col min="16" max="16384" width="9.140625" style="103"/>
  </cols>
  <sheetData>
    <row r="1" spans="1:17" s="136" customFormat="1" ht="15" customHeight="1">
      <c r="A1" s="84"/>
      <c r="B1" s="84"/>
      <c r="C1" s="85"/>
      <c r="D1" s="86"/>
      <c r="E1" s="87"/>
      <c r="F1" s="292"/>
      <c r="G1" s="292"/>
      <c r="H1" s="292"/>
      <c r="I1" s="293"/>
      <c r="J1" s="293"/>
      <c r="K1" s="294"/>
      <c r="L1" s="294"/>
      <c r="M1" s="292"/>
      <c r="N1" s="292"/>
      <c r="O1" s="295"/>
    </row>
    <row r="2" spans="1:17" s="136" customFormat="1" ht="15" customHeight="1">
      <c r="A2" s="89" t="s">
        <v>379</v>
      </c>
      <c r="B2" s="89"/>
      <c r="C2" s="90"/>
      <c r="D2" s="89" t="s">
        <v>380</v>
      </c>
      <c r="E2" s="91"/>
      <c r="F2" s="296"/>
      <c r="G2" s="296"/>
      <c r="H2" s="296"/>
      <c r="I2" s="297"/>
      <c r="J2" s="297"/>
      <c r="K2" s="298"/>
      <c r="L2" s="298"/>
      <c r="M2" s="297"/>
      <c r="N2" s="297"/>
      <c r="O2" s="295"/>
    </row>
    <row r="3" spans="1:17" s="136" customFormat="1" ht="15" customHeight="1">
      <c r="A3" s="89"/>
      <c r="B3" s="89"/>
      <c r="C3" s="90"/>
      <c r="D3" s="92"/>
      <c r="E3" s="91"/>
      <c r="F3" s="296"/>
      <c r="G3" s="296"/>
      <c r="H3" s="296"/>
      <c r="I3" s="297"/>
      <c r="J3" s="297"/>
      <c r="K3" s="298"/>
      <c r="L3" s="298"/>
      <c r="M3" s="297"/>
      <c r="N3" s="297"/>
      <c r="O3" s="295"/>
    </row>
    <row r="4" spans="1:17" s="136" customFormat="1" ht="15" customHeight="1">
      <c r="A4" s="93"/>
      <c r="B4" s="93"/>
      <c r="C4" s="94"/>
      <c r="D4" s="95"/>
      <c r="E4" s="96"/>
      <c r="F4" s="299"/>
      <c r="G4" s="299"/>
      <c r="H4" s="299"/>
      <c r="I4" s="300"/>
      <c r="J4" s="300"/>
      <c r="K4" s="301"/>
      <c r="L4" s="301"/>
      <c r="M4" s="300"/>
      <c r="N4" s="300"/>
      <c r="O4" s="295"/>
    </row>
    <row r="5" spans="1:17" s="136" customFormat="1" ht="15" customHeight="1">
      <c r="A5" s="197" t="s">
        <v>381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295"/>
    </row>
    <row r="6" spans="1:17" s="136" customFormat="1" ht="15" customHeight="1">
      <c r="A6" s="198" t="s">
        <v>382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295"/>
    </row>
    <row r="7" spans="1:17" s="136" customFormat="1" ht="15" customHeight="1">
      <c r="A7" s="199" t="s">
        <v>383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95"/>
    </row>
    <row r="8" spans="1:17" s="136" customFormat="1" ht="15" customHeight="1">
      <c r="A8" s="199" t="s">
        <v>384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295"/>
    </row>
    <row r="9" spans="1:17" s="136" customFormat="1" ht="15" customHeight="1">
      <c r="A9" s="97" t="s">
        <v>385</v>
      </c>
      <c r="B9" s="97"/>
      <c r="C9" s="98"/>
      <c r="D9" s="99"/>
      <c r="E9" s="100"/>
      <c r="F9" s="302"/>
      <c r="G9" s="302"/>
      <c r="H9" s="302"/>
      <c r="I9" s="302"/>
      <c r="J9" s="302"/>
      <c r="K9" s="302"/>
      <c r="L9" s="302"/>
      <c r="M9" s="303"/>
      <c r="N9" s="303"/>
      <c r="O9" s="295"/>
    </row>
    <row r="10" spans="1:17" s="136" customFormat="1" ht="15" customHeight="1" thickBot="1">
      <c r="A10" s="134"/>
      <c r="B10" s="134"/>
      <c r="C10" s="134"/>
      <c r="D10" s="134"/>
      <c r="E10" s="271"/>
      <c r="F10" s="295"/>
      <c r="G10" s="295"/>
      <c r="H10" s="295"/>
      <c r="I10" s="304"/>
      <c r="J10" s="295"/>
      <c r="K10" s="295"/>
      <c r="L10" s="295"/>
      <c r="M10" s="295"/>
      <c r="N10" s="295"/>
      <c r="O10" s="295"/>
    </row>
    <row r="11" spans="1:17" s="137" customFormat="1" ht="15" customHeight="1">
      <c r="A11" s="206" t="s">
        <v>0</v>
      </c>
      <c r="B11" s="209" t="s">
        <v>15</v>
      </c>
      <c r="C11" s="212" t="s">
        <v>1</v>
      </c>
      <c r="D11" s="212" t="s">
        <v>2</v>
      </c>
      <c r="E11" s="272" t="s">
        <v>14</v>
      </c>
      <c r="F11" s="305" t="s">
        <v>434</v>
      </c>
      <c r="G11" s="306"/>
      <c r="H11" s="307"/>
      <c r="I11" s="308" t="s">
        <v>386</v>
      </c>
      <c r="J11" s="308"/>
      <c r="K11" s="308"/>
      <c r="L11" s="308" t="s">
        <v>387</v>
      </c>
      <c r="M11" s="308"/>
      <c r="N11" s="308"/>
      <c r="O11" s="309" t="s">
        <v>388</v>
      </c>
    </row>
    <row r="12" spans="1:17" s="137" customFormat="1" ht="15" customHeight="1">
      <c r="A12" s="207"/>
      <c r="B12" s="210"/>
      <c r="C12" s="213"/>
      <c r="D12" s="213"/>
      <c r="E12" s="273"/>
      <c r="F12" s="310"/>
      <c r="G12" s="311"/>
      <c r="H12" s="312"/>
      <c r="I12" s="308"/>
      <c r="J12" s="308"/>
      <c r="K12" s="308"/>
      <c r="L12" s="308"/>
      <c r="M12" s="308"/>
      <c r="N12" s="308"/>
      <c r="O12" s="309"/>
    </row>
    <row r="13" spans="1:17" s="137" customFormat="1" ht="25.5" customHeight="1">
      <c r="A13" s="207"/>
      <c r="B13" s="210"/>
      <c r="C13" s="213"/>
      <c r="D13" s="213"/>
      <c r="E13" s="273"/>
      <c r="F13" s="313"/>
      <c r="G13" s="314"/>
      <c r="H13" s="315"/>
      <c r="I13" s="308"/>
      <c r="J13" s="308"/>
      <c r="K13" s="308"/>
      <c r="L13" s="308"/>
      <c r="M13" s="308"/>
      <c r="N13" s="308"/>
      <c r="O13" s="309"/>
    </row>
    <row r="14" spans="1:17" s="137" customFormat="1" ht="78.75" customHeight="1" thickBot="1">
      <c r="A14" s="208"/>
      <c r="B14" s="211"/>
      <c r="C14" s="214"/>
      <c r="D14" s="214"/>
      <c r="E14" s="274"/>
      <c r="F14" s="316" t="s">
        <v>3</v>
      </c>
      <c r="G14" s="317" t="s">
        <v>4</v>
      </c>
      <c r="H14" s="318" t="s">
        <v>5</v>
      </c>
      <c r="I14" s="319" t="s">
        <v>389</v>
      </c>
      <c r="J14" s="319" t="s">
        <v>390</v>
      </c>
      <c r="K14" s="319" t="s">
        <v>391</v>
      </c>
      <c r="L14" s="319" t="s">
        <v>389</v>
      </c>
      <c r="M14" s="319" t="s">
        <v>390</v>
      </c>
      <c r="N14" s="319" t="s">
        <v>391</v>
      </c>
      <c r="O14" s="309"/>
      <c r="P14" s="138"/>
      <c r="Q14" s="139"/>
    </row>
    <row r="15" spans="1:17" s="137" customFormat="1" ht="25.5" customHeight="1">
      <c r="A15" s="200" t="s">
        <v>376</v>
      </c>
      <c r="B15" s="201"/>
      <c r="C15" s="201"/>
      <c r="D15" s="201"/>
      <c r="E15" s="201"/>
      <c r="F15" s="201"/>
      <c r="G15" s="201"/>
      <c r="H15" s="201"/>
      <c r="I15" s="320"/>
      <c r="J15" s="321"/>
      <c r="K15" s="321"/>
      <c r="L15" s="321"/>
      <c r="M15" s="321"/>
      <c r="N15" s="321"/>
      <c r="O15" s="321"/>
    </row>
    <row r="16" spans="1:17" s="137" customFormat="1" ht="16.5" customHeight="1">
      <c r="A16" s="140" t="s">
        <v>370</v>
      </c>
      <c r="B16" s="129" t="s">
        <v>369</v>
      </c>
      <c r="C16" s="141"/>
      <c r="D16" s="141"/>
      <c r="E16" s="275"/>
      <c r="F16" s="322"/>
      <c r="G16" s="322"/>
      <c r="H16" s="322"/>
      <c r="I16" s="321"/>
      <c r="J16" s="321"/>
      <c r="K16" s="321"/>
      <c r="L16" s="321"/>
      <c r="M16" s="321"/>
      <c r="N16" s="321"/>
      <c r="O16" s="321"/>
    </row>
    <row r="17" spans="1:15" s="137" customFormat="1" ht="16.5" customHeight="1">
      <c r="A17" s="142" t="s">
        <v>371</v>
      </c>
      <c r="B17" s="130" t="s">
        <v>28</v>
      </c>
      <c r="C17" s="130"/>
      <c r="D17" s="130"/>
      <c r="E17" s="276"/>
      <c r="F17" s="323"/>
      <c r="G17" s="323"/>
      <c r="H17" s="323"/>
      <c r="I17" s="321"/>
      <c r="J17" s="321"/>
      <c r="K17" s="321"/>
      <c r="L17" s="321"/>
      <c r="M17" s="321"/>
      <c r="N17" s="321"/>
      <c r="O17" s="321"/>
    </row>
    <row r="18" spans="1:15" s="137" customFormat="1" ht="19.5" customHeight="1">
      <c r="A18" s="143" t="s">
        <v>372</v>
      </c>
      <c r="B18" s="144"/>
      <c r="C18" s="131" t="s">
        <v>373</v>
      </c>
      <c r="D18" s="132"/>
      <c r="E18" s="277"/>
      <c r="F18" s="324"/>
      <c r="G18" s="324"/>
      <c r="H18" s="324"/>
      <c r="I18" s="321"/>
      <c r="J18" s="321"/>
      <c r="K18" s="321"/>
      <c r="L18" s="321"/>
      <c r="M18" s="321"/>
      <c r="N18" s="321"/>
      <c r="O18" s="321"/>
    </row>
    <row r="19" spans="1:15" s="102" customFormat="1" ht="22.5" customHeight="1">
      <c r="A19" s="145" t="s">
        <v>374</v>
      </c>
      <c r="B19" s="146"/>
      <c r="C19" s="147" t="s">
        <v>378</v>
      </c>
      <c r="D19" s="148" t="s">
        <v>7</v>
      </c>
      <c r="E19" s="278"/>
      <c r="F19" s="325"/>
      <c r="G19" s="326"/>
      <c r="H19" s="326">
        <v>5.0599999999999996</v>
      </c>
      <c r="I19" s="327"/>
      <c r="J19" s="328"/>
      <c r="K19" s="328">
        <f>I19+J19</f>
        <v>0</v>
      </c>
      <c r="L19" s="328">
        <f>H19*I19</f>
        <v>0</v>
      </c>
      <c r="M19" s="328">
        <f>H19*J19</f>
        <v>0</v>
      </c>
      <c r="N19" s="328">
        <f>SUM(L19:M19)</f>
        <v>0</v>
      </c>
      <c r="O19" s="328"/>
    </row>
    <row r="20" spans="1:15" s="102" customFormat="1" ht="20.25" customHeight="1">
      <c r="A20" s="149"/>
      <c r="B20" s="150"/>
      <c r="C20" s="151" t="s">
        <v>176</v>
      </c>
      <c r="D20" s="152" t="s">
        <v>8</v>
      </c>
      <c r="E20" s="279">
        <v>34</v>
      </c>
      <c r="F20" s="329"/>
      <c r="G20" s="330"/>
      <c r="H20" s="331">
        <v>172.04</v>
      </c>
      <c r="I20" s="328"/>
      <c r="J20" s="328"/>
      <c r="K20" s="328"/>
      <c r="L20" s="328"/>
      <c r="M20" s="328"/>
      <c r="N20" s="328"/>
      <c r="O20" s="328"/>
    </row>
    <row r="21" spans="1:15" s="102" customFormat="1" ht="20.25" customHeight="1">
      <c r="A21" s="149"/>
      <c r="B21" s="150"/>
      <c r="C21" s="151" t="s">
        <v>201</v>
      </c>
      <c r="D21" s="152" t="s">
        <v>8</v>
      </c>
      <c r="E21" s="279">
        <v>1.2</v>
      </c>
      <c r="F21" s="329"/>
      <c r="G21" s="330"/>
      <c r="H21" s="331">
        <v>6.07</v>
      </c>
      <c r="I21" s="328"/>
      <c r="J21" s="328"/>
      <c r="K21" s="328"/>
      <c r="L21" s="328"/>
      <c r="M21" s="328"/>
      <c r="N21" s="328"/>
      <c r="O21" s="328"/>
    </row>
    <row r="22" spans="1:15" s="102" customFormat="1" ht="18.75" customHeight="1">
      <c r="A22" s="149"/>
      <c r="B22" s="150"/>
      <c r="C22" s="151" t="s">
        <v>187</v>
      </c>
      <c r="D22" s="152" t="s">
        <v>8</v>
      </c>
      <c r="E22" s="279">
        <v>0.2</v>
      </c>
      <c r="F22" s="329"/>
      <c r="G22" s="330"/>
      <c r="H22" s="331">
        <v>1.01</v>
      </c>
      <c r="I22" s="328"/>
      <c r="J22" s="328"/>
      <c r="K22" s="328"/>
      <c r="L22" s="328"/>
      <c r="M22" s="328"/>
      <c r="N22" s="328"/>
      <c r="O22" s="328"/>
    </row>
    <row r="23" spans="1:15" s="102" customFormat="1" ht="22.5" customHeight="1">
      <c r="A23" s="145" t="s">
        <v>375</v>
      </c>
      <c r="B23" s="146"/>
      <c r="C23" s="147" t="s">
        <v>46</v>
      </c>
      <c r="D23" s="148" t="s">
        <v>7</v>
      </c>
      <c r="E23" s="278"/>
      <c r="F23" s="325"/>
      <c r="G23" s="326"/>
      <c r="H23" s="326">
        <v>17.12</v>
      </c>
      <c r="I23" s="327"/>
      <c r="J23" s="328"/>
      <c r="K23" s="328">
        <v>0</v>
      </c>
      <c r="L23" s="328">
        <v>0</v>
      </c>
      <c r="M23" s="328">
        <v>0</v>
      </c>
      <c r="N23" s="328">
        <v>0</v>
      </c>
      <c r="O23" s="328"/>
    </row>
    <row r="24" spans="1:15" s="102" customFormat="1" ht="21" customHeight="1" thickBot="1">
      <c r="A24" s="153"/>
      <c r="B24" s="154"/>
      <c r="C24" s="151" t="s">
        <v>176</v>
      </c>
      <c r="D24" s="152" t="s">
        <v>8</v>
      </c>
      <c r="E24" s="279">
        <v>17</v>
      </c>
      <c r="F24" s="332"/>
      <c r="G24" s="333"/>
      <c r="H24" s="333">
        <v>291.04000000000002</v>
      </c>
      <c r="I24" s="327"/>
      <c r="J24" s="328"/>
      <c r="K24" s="328"/>
      <c r="L24" s="328"/>
      <c r="M24" s="328"/>
      <c r="N24" s="328"/>
      <c r="O24" s="328"/>
    </row>
    <row r="25" spans="1:15" s="137" customFormat="1" ht="25.5" customHeight="1">
      <c r="A25" s="200" t="s">
        <v>16</v>
      </c>
      <c r="B25" s="201"/>
      <c r="C25" s="201"/>
      <c r="D25" s="201"/>
      <c r="E25" s="201"/>
      <c r="F25" s="201"/>
      <c r="G25" s="201"/>
      <c r="H25" s="201"/>
      <c r="I25" s="320"/>
      <c r="J25" s="321"/>
      <c r="K25" s="321"/>
      <c r="L25" s="321"/>
      <c r="M25" s="321"/>
      <c r="N25" s="321"/>
      <c r="O25" s="321"/>
    </row>
    <row r="26" spans="1:15" s="137" customFormat="1" ht="16.5" customHeight="1">
      <c r="A26" s="140" t="s">
        <v>6</v>
      </c>
      <c r="B26" s="129" t="s">
        <v>17</v>
      </c>
      <c r="C26" s="141"/>
      <c r="D26" s="141"/>
      <c r="E26" s="275"/>
      <c r="F26" s="322"/>
      <c r="G26" s="322"/>
      <c r="H26" s="322"/>
      <c r="I26" s="321"/>
      <c r="J26" s="321"/>
      <c r="K26" s="321"/>
      <c r="L26" s="321"/>
      <c r="M26" s="321"/>
      <c r="N26" s="321"/>
      <c r="O26" s="321"/>
    </row>
    <row r="27" spans="1:15" s="137" customFormat="1" ht="16.5" customHeight="1">
      <c r="A27" s="142" t="s">
        <v>40</v>
      </c>
      <c r="B27" s="130" t="s">
        <v>28</v>
      </c>
      <c r="C27" s="130"/>
      <c r="D27" s="130"/>
      <c r="E27" s="276"/>
      <c r="F27" s="323"/>
      <c r="G27" s="323"/>
      <c r="H27" s="323"/>
      <c r="I27" s="321"/>
      <c r="J27" s="321"/>
      <c r="K27" s="321"/>
      <c r="L27" s="321"/>
      <c r="M27" s="321"/>
      <c r="N27" s="321"/>
      <c r="O27" s="321"/>
    </row>
    <row r="28" spans="1:15" s="137" customFormat="1" ht="20.25" customHeight="1">
      <c r="A28" s="155" t="s">
        <v>146</v>
      </c>
      <c r="B28" s="156"/>
      <c r="C28" s="157" t="s">
        <v>320</v>
      </c>
      <c r="D28" s="158"/>
      <c r="E28" s="280"/>
      <c r="F28" s="334"/>
      <c r="G28" s="334"/>
      <c r="H28" s="334"/>
      <c r="I28" s="321"/>
      <c r="J28" s="321"/>
      <c r="K28" s="321"/>
      <c r="L28" s="321"/>
      <c r="M28" s="321"/>
      <c r="N28" s="321"/>
      <c r="O28" s="321"/>
    </row>
    <row r="29" spans="1:15" s="137" customFormat="1" ht="19.5" customHeight="1">
      <c r="A29" s="143" t="s">
        <v>147</v>
      </c>
      <c r="B29" s="144"/>
      <c r="C29" s="131" t="s">
        <v>316</v>
      </c>
      <c r="D29" s="132"/>
      <c r="E29" s="277"/>
      <c r="F29" s="324"/>
      <c r="G29" s="324"/>
      <c r="H29" s="324"/>
      <c r="I29" s="321"/>
      <c r="J29" s="321"/>
      <c r="K29" s="321"/>
      <c r="L29" s="321"/>
      <c r="M29" s="321"/>
      <c r="N29" s="321"/>
      <c r="O29" s="321"/>
    </row>
    <row r="30" spans="1:15" s="137" customFormat="1" ht="21.75" customHeight="1">
      <c r="A30" s="145" t="s">
        <v>148</v>
      </c>
      <c r="B30" s="159"/>
      <c r="C30" s="160" t="s">
        <v>150</v>
      </c>
      <c r="D30" s="161" t="s">
        <v>7</v>
      </c>
      <c r="E30" s="281"/>
      <c r="F30" s="335">
        <f>7.16*2.74+15.35*3.68</f>
        <v>76.11</v>
      </c>
      <c r="G30" s="336">
        <f>(7.16+2.3)*2.74+15.35*3.68</f>
        <v>82.41</v>
      </c>
      <c r="H30" s="326">
        <f t="shared" ref="H30" si="0">SUM(F30:G30)</f>
        <v>158.52000000000001</v>
      </c>
      <c r="I30" s="321"/>
      <c r="J30" s="321"/>
      <c r="K30" s="321">
        <f>I30+J30</f>
        <v>0</v>
      </c>
      <c r="L30" s="321">
        <f>H30*I30</f>
        <v>0</v>
      </c>
      <c r="M30" s="321">
        <f>H30*J30</f>
        <v>0</v>
      </c>
      <c r="N30" s="321">
        <f>SUM(L30:M30)</f>
        <v>0</v>
      </c>
      <c r="O30" s="321"/>
    </row>
    <row r="31" spans="1:15" s="137" customFormat="1" ht="105">
      <c r="A31" s="149"/>
      <c r="B31" s="150"/>
      <c r="C31" s="151" t="s">
        <v>212</v>
      </c>
      <c r="D31" s="152" t="s">
        <v>22</v>
      </c>
      <c r="E31" s="279">
        <v>0.15</v>
      </c>
      <c r="F31" s="329">
        <v>11.64</v>
      </c>
      <c r="G31" s="330">
        <v>12.61</v>
      </c>
      <c r="H31" s="331">
        <v>24.25</v>
      </c>
      <c r="I31" s="321"/>
      <c r="J31" s="321"/>
      <c r="K31" s="321"/>
      <c r="L31" s="321"/>
      <c r="M31" s="321"/>
      <c r="N31" s="321"/>
      <c r="O31" s="321"/>
    </row>
    <row r="32" spans="1:15" s="137" customFormat="1" ht="21" customHeight="1">
      <c r="A32" s="149"/>
      <c r="B32" s="150"/>
      <c r="C32" s="151" t="s">
        <v>186</v>
      </c>
      <c r="D32" s="152" t="s">
        <v>8</v>
      </c>
      <c r="E32" s="279">
        <v>6</v>
      </c>
      <c r="F32" s="329">
        <v>456.66</v>
      </c>
      <c r="G32" s="330">
        <v>494.46</v>
      </c>
      <c r="H32" s="331">
        <v>951.12</v>
      </c>
      <c r="I32" s="321"/>
      <c r="J32" s="321"/>
      <c r="K32" s="321"/>
      <c r="L32" s="321"/>
      <c r="M32" s="321"/>
      <c r="N32" s="321"/>
      <c r="O32" s="321"/>
    </row>
    <row r="33" spans="1:15" s="137" customFormat="1" ht="21" customHeight="1">
      <c r="A33" s="149"/>
      <c r="B33" s="150"/>
      <c r="C33" s="151" t="s">
        <v>23</v>
      </c>
      <c r="D33" s="152" t="s">
        <v>20</v>
      </c>
      <c r="E33" s="279">
        <v>7</v>
      </c>
      <c r="F33" s="329">
        <v>533</v>
      </c>
      <c r="G33" s="330">
        <v>577</v>
      </c>
      <c r="H33" s="331">
        <v>1110</v>
      </c>
      <c r="I33" s="321"/>
      <c r="J33" s="321"/>
      <c r="K33" s="321"/>
      <c r="L33" s="321"/>
      <c r="M33" s="321"/>
      <c r="N33" s="321"/>
      <c r="O33" s="321"/>
    </row>
    <row r="34" spans="1:15" s="137" customFormat="1" ht="26.25" customHeight="1">
      <c r="A34" s="145" t="s">
        <v>152</v>
      </c>
      <c r="B34" s="159"/>
      <c r="C34" s="160" t="s">
        <v>157</v>
      </c>
      <c r="D34" s="161" t="s">
        <v>7</v>
      </c>
      <c r="E34" s="281"/>
      <c r="F34" s="337">
        <v>77.3</v>
      </c>
      <c r="G34" s="336">
        <v>78.069999999999993</v>
      </c>
      <c r="H34" s="326">
        <v>155.37</v>
      </c>
      <c r="I34" s="321"/>
      <c r="J34" s="321"/>
      <c r="K34" s="321">
        <f>I34+J34</f>
        <v>0</v>
      </c>
      <c r="L34" s="321">
        <f>H34*I34</f>
        <v>0</v>
      </c>
      <c r="M34" s="321">
        <f>H34*J34</f>
        <v>0</v>
      </c>
      <c r="N34" s="321">
        <f>SUM(L34:M34)</f>
        <v>0</v>
      </c>
      <c r="O34" s="321"/>
    </row>
    <row r="35" spans="1:15" s="137" customFormat="1" ht="21" customHeight="1">
      <c r="A35" s="149"/>
      <c r="B35" s="150"/>
      <c r="C35" s="151" t="s">
        <v>209</v>
      </c>
      <c r="D35" s="152" t="s">
        <v>8</v>
      </c>
      <c r="E35" s="279">
        <v>6</v>
      </c>
      <c r="F35" s="329">
        <v>463.8</v>
      </c>
      <c r="G35" s="330">
        <v>468.42</v>
      </c>
      <c r="H35" s="331">
        <v>932.22</v>
      </c>
      <c r="I35" s="321"/>
      <c r="J35" s="321"/>
      <c r="K35" s="321"/>
      <c r="L35" s="321"/>
      <c r="M35" s="321"/>
      <c r="N35" s="321"/>
      <c r="O35" s="321"/>
    </row>
    <row r="36" spans="1:15" s="137" customFormat="1" ht="21" customHeight="1">
      <c r="A36" s="149"/>
      <c r="B36" s="150"/>
      <c r="C36" s="151" t="s">
        <v>210</v>
      </c>
      <c r="D36" s="152" t="s">
        <v>7</v>
      </c>
      <c r="E36" s="279">
        <v>1.1499999999999999</v>
      </c>
      <c r="F36" s="329">
        <v>88.9</v>
      </c>
      <c r="G36" s="330">
        <v>89.78</v>
      </c>
      <c r="H36" s="331">
        <v>178.68</v>
      </c>
      <c r="I36" s="321"/>
      <c r="J36" s="321"/>
      <c r="K36" s="321"/>
      <c r="L36" s="321"/>
      <c r="M36" s="321"/>
      <c r="N36" s="321"/>
      <c r="O36" s="321"/>
    </row>
    <row r="37" spans="1:15" s="137" customFormat="1" ht="21" customHeight="1">
      <c r="A37" s="149"/>
      <c r="B37" s="150"/>
      <c r="C37" s="151" t="s">
        <v>149</v>
      </c>
      <c r="D37" s="152" t="s">
        <v>8</v>
      </c>
      <c r="E37" s="279">
        <v>0.3</v>
      </c>
      <c r="F37" s="329">
        <v>23.19</v>
      </c>
      <c r="G37" s="330">
        <v>23.42</v>
      </c>
      <c r="H37" s="331">
        <v>46.61</v>
      </c>
      <c r="I37" s="321"/>
      <c r="J37" s="321"/>
      <c r="K37" s="321"/>
      <c r="L37" s="321"/>
      <c r="M37" s="321"/>
      <c r="N37" s="321"/>
      <c r="O37" s="321"/>
    </row>
    <row r="38" spans="1:15" s="137" customFormat="1" ht="21" customHeight="1">
      <c r="A38" s="149"/>
      <c r="B38" s="150"/>
      <c r="C38" s="151" t="s">
        <v>151</v>
      </c>
      <c r="D38" s="152" t="s">
        <v>8</v>
      </c>
      <c r="E38" s="279">
        <v>3</v>
      </c>
      <c r="F38" s="329">
        <v>231.9</v>
      </c>
      <c r="G38" s="330">
        <v>234.21</v>
      </c>
      <c r="H38" s="331">
        <v>466.11</v>
      </c>
      <c r="I38" s="321"/>
      <c r="J38" s="321"/>
      <c r="K38" s="321"/>
      <c r="L38" s="321"/>
      <c r="M38" s="321"/>
      <c r="N38" s="321"/>
      <c r="O38" s="321"/>
    </row>
    <row r="39" spans="1:15" s="137" customFormat="1" ht="24.75" customHeight="1">
      <c r="A39" s="149"/>
      <c r="B39" s="150"/>
      <c r="C39" s="151" t="s">
        <v>191</v>
      </c>
      <c r="D39" s="152" t="s">
        <v>8</v>
      </c>
      <c r="E39" s="279">
        <v>0.3</v>
      </c>
      <c r="F39" s="329">
        <v>23.19</v>
      </c>
      <c r="G39" s="330">
        <v>23.42</v>
      </c>
      <c r="H39" s="331">
        <v>46.61</v>
      </c>
      <c r="I39" s="321"/>
      <c r="J39" s="321"/>
      <c r="K39" s="321"/>
      <c r="L39" s="321"/>
      <c r="M39" s="321"/>
      <c r="N39" s="321"/>
      <c r="O39" s="321"/>
    </row>
    <row r="40" spans="1:15" s="137" customFormat="1" ht="58.5" customHeight="1">
      <c r="A40" s="145" t="s">
        <v>361</v>
      </c>
      <c r="B40" s="159"/>
      <c r="C40" s="160" t="s">
        <v>302</v>
      </c>
      <c r="D40" s="161" t="s">
        <v>7</v>
      </c>
      <c r="E40" s="281"/>
      <c r="F40" s="337">
        <v>1.05</v>
      </c>
      <c r="G40" s="336">
        <v>1.05</v>
      </c>
      <c r="H40" s="326">
        <v>2.1</v>
      </c>
      <c r="I40" s="321"/>
      <c r="J40" s="321"/>
      <c r="K40" s="321">
        <f>I40+J40</f>
        <v>0</v>
      </c>
      <c r="L40" s="321">
        <f>H40*I40</f>
        <v>0</v>
      </c>
      <c r="M40" s="321">
        <f>H40*J40</f>
        <v>0</v>
      </c>
      <c r="N40" s="321">
        <f>SUM(L40:M40)</f>
        <v>0</v>
      </c>
      <c r="O40" s="321"/>
    </row>
    <row r="41" spans="1:15" s="137" customFormat="1" ht="21" customHeight="1">
      <c r="A41" s="149"/>
      <c r="B41" s="150"/>
      <c r="C41" s="151" t="s">
        <v>164</v>
      </c>
      <c r="D41" s="152" t="s">
        <v>21</v>
      </c>
      <c r="E41" s="279">
        <v>0.15</v>
      </c>
      <c r="F41" s="329">
        <v>0.16</v>
      </c>
      <c r="G41" s="330">
        <v>0.16</v>
      </c>
      <c r="H41" s="331">
        <v>0.32</v>
      </c>
      <c r="I41" s="321"/>
      <c r="J41" s="321"/>
      <c r="K41" s="321"/>
      <c r="L41" s="321"/>
      <c r="M41" s="321"/>
      <c r="N41" s="321"/>
      <c r="O41" s="321"/>
    </row>
    <row r="42" spans="1:15" s="137" customFormat="1" ht="21" customHeight="1">
      <c r="A42" s="149"/>
      <c r="B42" s="150"/>
      <c r="C42" s="151" t="s">
        <v>166</v>
      </c>
      <c r="D42" s="152" t="s">
        <v>8</v>
      </c>
      <c r="E42" s="279">
        <v>8.4</v>
      </c>
      <c r="F42" s="329">
        <v>8.82</v>
      </c>
      <c r="G42" s="330">
        <v>8.82</v>
      </c>
      <c r="H42" s="331">
        <v>17.64</v>
      </c>
      <c r="I42" s="321"/>
      <c r="J42" s="321"/>
      <c r="K42" s="321"/>
      <c r="L42" s="321"/>
      <c r="M42" s="321"/>
      <c r="N42" s="321"/>
      <c r="O42" s="321"/>
    </row>
    <row r="43" spans="1:15" s="137" customFormat="1" ht="21" customHeight="1">
      <c r="A43" s="149"/>
      <c r="B43" s="150"/>
      <c r="C43" s="151" t="s">
        <v>201</v>
      </c>
      <c r="D43" s="152" t="s">
        <v>8</v>
      </c>
      <c r="E43" s="279">
        <v>1.2</v>
      </c>
      <c r="F43" s="329">
        <v>1.26</v>
      </c>
      <c r="G43" s="330">
        <v>1.26</v>
      </c>
      <c r="H43" s="331">
        <v>2.52</v>
      </c>
      <c r="I43" s="321"/>
      <c r="J43" s="321"/>
      <c r="K43" s="321"/>
      <c r="L43" s="321"/>
      <c r="M43" s="321"/>
      <c r="N43" s="321"/>
      <c r="O43" s="321"/>
    </row>
    <row r="44" spans="1:15" s="137" customFormat="1" ht="21" customHeight="1">
      <c r="A44" s="149"/>
      <c r="B44" s="150"/>
      <c r="C44" s="151" t="s">
        <v>202</v>
      </c>
      <c r="D44" s="162" t="s">
        <v>8</v>
      </c>
      <c r="E44" s="282">
        <v>2</v>
      </c>
      <c r="F44" s="329">
        <v>2.1</v>
      </c>
      <c r="G44" s="330">
        <v>2.1</v>
      </c>
      <c r="H44" s="331">
        <v>4.2</v>
      </c>
      <c r="I44" s="321"/>
      <c r="J44" s="321"/>
      <c r="K44" s="321"/>
      <c r="L44" s="321"/>
      <c r="M44" s="321"/>
      <c r="N44" s="321"/>
      <c r="O44" s="321"/>
    </row>
    <row r="45" spans="1:15" s="137" customFormat="1" ht="21" customHeight="1">
      <c r="A45" s="143" t="s">
        <v>154</v>
      </c>
      <c r="B45" s="144"/>
      <c r="C45" s="131" t="s">
        <v>153</v>
      </c>
      <c r="D45" s="132"/>
      <c r="E45" s="277"/>
      <c r="F45" s="324"/>
      <c r="G45" s="324"/>
      <c r="H45" s="324"/>
      <c r="I45" s="321"/>
      <c r="J45" s="321"/>
      <c r="K45" s="321"/>
      <c r="L45" s="321"/>
      <c r="M45" s="321"/>
      <c r="N45" s="321"/>
      <c r="O45" s="321"/>
    </row>
    <row r="46" spans="1:15" s="137" customFormat="1" ht="21" customHeight="1">
      <c r="A46" s="145" t="s">
        <v>156</v>
      </c>
      <c r="B46" s="159"/>
      <c r="C46" s="160" t="s">
        <v>155</v>
      </c>
      <c r="D46" s="161" t="s">
        <v>7</v>
      </c>
      <c r="E46" s="281"/>
      <c r="F46" s="335">
        <v>19.95</v>
      </c>
      <c r="G46" s="336">
        <v>19.95</v>
      </c>
      <c r="H46" s="326">
        <v>39.9</v>
      </c>
      <c r="I46" s="321"/>
      <c r="J46" s="321"/>
      <c r="K46" s="321">
        <f>I46+J46</f>
        <v>0</v>
      </c>
      <c r="L46" s="321">
        <f>H46*I46</f>
        <v>0</v>
      </c>
      <c r="M46" s="321">
        <f>H46*J46</f>
        <v>0</v>
      </c>
      <c r="N46" s="321">
        <f>SUM(L46:M46)</f>
        <v>0</v>
      </c>
      <c r="O46" s="321"/>
    </row>
    <row r="47" spans="1:15" s="137" customFormat="1" ht="67.5" customHeight="1">
      <c r="A47" s="149"/>
      <c r="B47" s="150"/>
      <c r="C47" s="151" t="s">
        <v>211</v>
      </c>
      <c r="D47" s="152" t="s">
        <v>22</v>
      </c>
      <c r="E47" s="279">
        <v>0.15</v>
      </c>
      <c r="F47" s="329">
        <v>3.05</v>
      </c>
      <c r="G47" s="330">
        <v>3.05</v>
      </c>
      <c r="H47" s="331">
        <v>6.1</v>
      </c>
      <c r="I47" s="321"/>
      <c r="J47" s="321"/>
      <c r="K47" s="321"/>
      <c r="L47" s="321"/>
      <c r="M47" s="321"/>
      <c r="N47" s="321"/>
      <c r="O47" s="321"/>
    </row>
    <row r="48" spans="1:15" s="137" customFormat="1" ht="21" customHeight="1">
      <c r="A48" s="149"/>
      <c r="B48" s="150"/>
      <c r="C48" s="151" t="s">
        <v>186</v>
      </c>
      <c r="D48" s="152" t="s">
        <v>8</v>
      </c>
      <c r="E48" s="279">
        <v>6</v>
      </c>
      <c r="F48" s="329">
        <v>119.7</v>
      </c>
      <c r="G48" s="330">
        <v>119.7</v>
      </c>
      <c r="H48" s="331">
        <v>239.4</v>
      </c>
      <c r="I48" s="321"/>
      <c r="J48" s="321"/>
      <c r="K48" s="321"/>
      <c r="L48" s="321"/>
      <c r="M48" s="321"/>
      <c r="N48" s="321"/>
      <c r="O48" s="321"/>
    </row>
    <row r="49" spans="1:15" s="137" customFormat="1" ht="21" customHeight="1">
      <c r="A49" s="149"/>
      <c r="B49" s="150"/>
      <c r="C49" s="151" t="s">
        <v>23</v>
      </c>
      <c r="D49" s="152" t="s">
        <v>20</v>
      </c>
      <c r="E49" s="279">
        <v>7</v>
      </c>
      <c r="F49" s="329">
        <v>140</v>
      </c>
      <c r="G49" s="330">
        <v>140</v>
      </c>
      <c r="H49" s="331">
        <v>280</v>
      </c>
      <c r="I49" s="321"/>
      <c r="J49" s="321"/>
      <c r="K49" s="321"/>
      <c r="L49" s="321"/>
      <c r="M49" s="321"/>
      <c r="N49" s="321"/>
      <c r="O49" s="321"/>
    </row>
    <row r="50" spans="1:15" s="137" customFormat="1" ht="35.25" customHeight="1">
      <c r="A50" s="145" t="s">
        <v>158</v>
      </c>
      <c r="B50" s="159"/>
      <c r="C50" s="160" t="s">
        <v>157</v>
      </c>
      <c r="D50" s="161" t="s">
        <v>7</v>
      </c>
      <c r="E50" s="281"/>
      <c r="F50" s="337">
        <v>19.95</v>
      </c>
      <c r="G50" s="336">
        <v>19.95</v>
      </c>
      <c r="H50" s="326">
        <v>39.9</v>
      </c>
      <c r="I50" s="320"/>
      <c r="J50" s="321"/>
      <c r="K50" s="321">
        <f>I50+J50</f>
        <v>0</v>
      </c>
      <c r="L50" s="321">
        <f>H50*I50</f>
        <v>0</v>
      </c>
      <c r="M50" s="321">
        <f>H50*J50</f>
        <v>0</v>
      </c>
      <c r="N50" s="321">
        <f>SUM(L50:M50)</f>
        <v>0</v>
      </c>
      <c r="O50" s="321"/>
    </row>
    <row r="51" spans="1:15" s="137" customFormat="1" ht="21" customHeight="1">
      <c r="A51" s="149"/>
      <c r="B51" s="150"/>
      <c r="C51" s="151" t="s">
        <v>209</v>
      </c>
      <c r="D51" s="152" t="s">
        <v>8</v>
      </c>
      <c r="E51" s="279">
        <v>6</v>
      </c>
      <c r="F51" s="329">
        <v>119.7</v>
      </c>
      <c r="G51" s="330">
        <v>119.7</v>
      </c>
      <c r="H51" s="331">
        <v>239.4</v>
      </c>
      <c r="I51" s="321"/>
      <c r="J51" s="321"/>
      <c r="K51" s="321"/>
      <c r="L51" s="321"/>
      <c r="M51" s="321"/>
      <c r="N51" s="321"/>
      <c r="O51" s="321"/>
    </row>
    <row r="52" spans="1:15" s="137" customFormat="1" ht="21" customHeight="1">
      <c r="A52" s="149"/>
      <c r="B52" s="150"/>
      <c r="C52" s="151" t="s">
        <v>210</v>
      </c>
      <c r="D52" s="152" t="s">
        <v>7</v>
      </c>
      <c r="E52" s="279">
        <v>1.1499999999999999</v>
      </c>
      <c r="F52" s="329">
        <v>22.94</v>
      </c>
      <c r="G52" s="330">
        <v>22.94</v>
      </c>
      <c r="H52" s="331">
        <v>45.88</v>
      </c>
      <c r="I52" s="321"/>
      <c r="J52" s="321"/>
      <c r="K52" s="321"/>
      <c r="L52" s="321"/>
      <c r="M52" s="321"/>
      <c r="N52" s="321"/>
      <c r="O52" s="321"/>
    </row>
    <row r="53" spans="1:15" s="137" customFormat="1" ht="18" customHeight="1">
      <c r="A53" s="145" t="s">
        <v>159</v>
      </c>
      <c r="B53" s="159"/>
      <c r="C53" s="160" t="s">
        <v>178</v>
      </c>
      <c r="D53" s="161" t="s">
        <v>7</v>
      </c>
      <c r="E53" s="281"/>
      <c r="F53" s="337">
        <v>23.05</v>
      </c>
      <c r="G53" s="336">
        <v>23.05</v>
      </c>
      <c r="H53" s="326">
        <v>46.1</v>
      </c>
      <c r="I53" s="320"/>
      <c r="J53" s="321"/>
      <c r="K53" s="321">
        <f>I53+J53</f>
        <v>0</v>
      </c>
      <c r="L53" s="321">
        <f>H53*I53</f>
        <v>0</v>
      </c>
      <c r="M53" s="321">
        <f>H53*J53</f>
        <v>0</v>
      </c>
      <c r="N53" s="321">
        <f>SUM(L53:M53)</f>
        <v>0</v>
      </c>
      <c r="O53" s="321"/>
    </row>
    <row r="54" spans="1:15" s="137" customFormat="1" ht="21" customHeight="1">
      <c r="A54" s="149"/>
      <c r="B54" s="150"/>
      <c r="C54" s="151" t="s">
        <v>363</v>
      </c>
      <c r="D54" s="152" t="s">
        <v>7</v>
      </c>
      <c r="E54" s="279">
        <v>1.02</v>
      </c>
      <c r="F54" s="329">
        <v>23.51</v>
      </c>
      <c r="G54" s="330">
        <v>23.51</v>
      </c>
      <c r="H54" s="331">
        <v>47.02</v>
      </c>
      <c r="I54" s="321"/>
      <c r="J54" s="321"/>
      <c r="K54" s="321"/>
      <c r="L54" s="321"/>
      <c r="M54" s="321"/>
      <c r="N54" s="321"/>
      <c r="O54" s="321"/>
    </row>
    <row r="55" spans="1:15" s="137" customFormat="1" ht="21" customHeight="1">
      <c r="A55" s="149"/>
      <c r="B55" s="150"/>
      <c r="C55" s="151" t="s">
        <v>190</v>
      </c>
      <c r="D55" s="152" t="s">
        <v>8</v>
      </c>
      <c r="E55" s="279">
        <v>3.5</v>
      </c>
      <c r="F55" s="329">
        <v>80.680000000000007</v>
      </c>
      <c r="G55" s="330">
        <v>80.680000000000007</v>
      </c>
      <c r="H55" s="331">
        <v>161.36000000000001</v>
      </c>
      <c r="I55" s="321"/>
      <c r="J55" s="321"/>
      <c r="K55" s="321"/>
      <c r="L55" s="321"/>
      <c r="M55" s="321"/>
      <c r="N55" s="321"/>
      <c r="O55" s="321"/>
    </row>
    <row r="56" spans="1:15" s="137" customFormat="1" ht="21" customHeight="1">
      <c r="A56" s="145" t="s">
        <v>162</v>
      </c>
      <c r="B56" s="159"/>
      <c r="C56" s="160" t="s">
        <v>364</v>
      </c>
      <c r="D56" s="161" t="s">
        <v>7</v>
      </c>
      <c r="E56" s="281"/>
      <c r="F56" s="337">
        <v>2.5099999999999998</v>
      </c>
      <c r="G56" s="336">
        <v>2.5099999999999998</v>
      </c>
      <c r="H56" s="326">
        <v>5.0199999999999996</v>
      </c>
      <c r="I56" s="321"/>
      <c r="J56" s="321"/>
      <c r="K56" s="321">
        <f>I56+J56</f>
        <v>0</v>
      </c>
      <c r="L56" s="321">
        <f>H56*I56</f>
        <v>0</v>
      </c>
      <c r="M56" s="321">
        <f>H56*J56</f>
        <v>0</v>
      </c>
      <c r="N56" s="321">
        <f>SUM(L56:M56)</f>
        <v>0</v>
      </c>
      <c r="O56" s="321"/>
    </row>
    <row r="57" spans="1:15" s="137" customFormat="1" ht="21" customHeight="1">
      <c r="A57" s="149"/>
      <c r="B57" s="150"/>
      <c r="C57" s="151" t="s">
        <v>363</v>
      </c>
      <c r="D57" s="152" t="s">
        <v>7</v>
      </c>
      <c r="E57" s="279">
        <v>1.02</v>
      </c>
      <c r="F57" s="329">
        <v>2.56</v>
      </c>
      <c r="G57" s="330">
        <v>2.56</v>
      </c>
      <c r="H57" s="331">
        <v>5.12</v>
      </c>
      <c r="I57" s="321"/>
      <c r="J57" s="321"/>
      <c r="K57" s="321"/>
      <c r="L57" s="321"/>
      <c r="M57" s="321"/>
      <c r="N57" s="321"/>
      <c r="O57" s="321"/>
    </row>
    <row r="58" spans="1:15" s="137" customFormat="1" ht="21" customHeight="1">
      <c r="A58" s="149"/>
      <c r="B58" s="150"/>
      <c r="C58" s="151" t="s">
        <v>190</v>
      </c>
      <c r="D58" s="152" t="s">
        <v>8</v>
      </c>
      <c r="E58" s="279">
        <v>3.5</v>
      </c>
      <c r="F58" s="329">
        <v>8.7899999999999991</v>
      </c>
      <c r="G58" s="330">
        <v>8.7899999999999991</v>
      </c>
      <c r="H58" s="331">
        <v>17.579999999999998</v>
      </c>
      <c r="I58" s="321"/>
      <c r="J58" s="321"/>
      <c r="K58" s="321"/>
      <c r="L58" s="321"/>
      <c r="M58" s="321"/>
      <c r="N58" s="321"/>
      <c r="O58" s="321"/>
    </row>
    <row r="59" spans="1:15" s="137" customFormat="1" ht="34.5" customHeight="1">
      <c r="A59" s="143" t="s">
        <v>160</v>
      </c>
      <c r="B59" s="144"/>
      <c r="C59" s="131" t="s">
        <v>309</v>
      </c>
      <c r="D59" s="132"/>
      <c r="E59" s="277"/>
      <c r="F59" s="324"/>
      <c r="G59" s="324"/>
      <c r="H59" s="324"/>
      <c r="I59" s="321"/>
      <c r="J59" s="321"/>
      <c r="K59" s="321"/>
      <c r="L59" s="321"/>
      <c r="M59" s="321"/>
      <c r="N59" s="321"/>
      <c r="O59" s="321"/>
    </row>
    <row r="60" spans="1:15" s="137" customFormat="1" ht="47.25" customHeight="1">
      <c r="A60" s="145" t="s">
        <v>161</v>
      </c>
      <c r="B60" s="159"/>
      <c r="C60" s="160" t="s">
        <v>163</v>
      </c>
      <c r="D60" s="161" t="s">
        <v>7</v>
      </c>
      <c r="E60" s="281"/>
      <c r="F60" s="335">
        <v>4.71</v>
      </c>
      <c r="G60" s="336"/>
      <c r="H60" s="326">
        <v>4.71</v>
      </c>
      <c r="I60" s="321"/>
      <c r="J60" s="321"/>
      <c r="K60" s="321">
        <f>I60+J60</f>
        <v>0</v>
      </c>
      <c r="L60" s="321">
        <f>H60*I60</f>
        <v>0</v>
      </c>
      <c r="M60" s="321">
        <f>H60*J60</f>
        <v>0</v>
      </c>
      <c r="N60" s="321">
        <f>SUM(L60:M60)</f>
        <v>0</v>
      </c>
      <c r="O60" s="321"/>
    </row>
    <row r="61" spans="1:15" s="137" customFormat="1" ht="21" customHeight="1">
      <c r="A61" s="149"/>
      <c r="B61" s="150"/>
      <c r="C61" s="151" t="s">
        <v>164</v>
      </c>
      <c r="D61" s="152" t="s">
        <v>21</v>
      </c>
      <c r="E61" s="279">
        <v>0.15</v>
      </c>
      <c r="F61" s="329">
        <v>0.71</v>
      </c>
      <c r="G61" s="330"/>
      <c r="H61" s="331">
        <v>0.71</v>
      </c>
      <c r="I61" s="321"/>
      <c r="J61" s="321"/>
      <c r="K61" s="321"/>
      <c r="L61" s="321"/>
      <c r="M61" s="321"/>
      <c r="N61" s="321"/>
      <c r="O61" s="321"/>
    </row>
    <row r="62" spans="1:15" s="137" customFormat="1" ht="21.75" customHeight="1">
      <c r="A62" s="149"/>
      <c r="B62" s="150"/>
      <c r="C62" s="151" t="s">
        <v>166</v>
      </c>
      <c r="D62" s="152" t="s">
        <v>8</v>
      </c>
      <c r="E62" s="279">
        <v>8.4</v>
      </c>
      <c r="F62" s="329">
        <v>39.56</v>
      </c>
      <c r="G62" s="330"/>
      <c r="H62" s="331">
        <v>39.56</v>
      </c>
      <c r="I62" s="321"/>
      <c r="J62" s="321"/>
      <c r="K62" s="321"/>
      <c r="L62" s="321"/>
      <c r="M62" s="321"/>
      <c r="N62" s="321"/>
      <c r="O62" s="321"/>
    </row>
    <row r="63" spans="1:15" s="137" customFormat="1" ht="18.75" customHeight="1">
      <c r="A63" s="145" t="s">
        <v>165</v>
      </c>
      <c r="B63" s="159"/>
      <c r="C63" s="160" t="s">
        <v>168</v>
      </c>
      <c r="D63" s="161"/>
      <c r="E63" s="281"/>
      <c r="F63" s="337">
        <v>3.56</v>
      </c>
      <c r="G63" s="336"/>
      <c r="H63" s="326">
        <v>3.56</v>
      </c>
      <c r="I63" s="321"/>
      <c r="J63" s="321"/>
      <c r="K63" s="321">
        <f>I63+J63</f>
        <v>0</v>
      </c>
      <c r="L63" s="321">
        <f>H63*I63</f>
        <v>0</v>
      </c>
      <c r="M63" s="321">
        <f>H63*J63</f>
        <v>0</v>
      </c>
      <c r="N63" s="321">
        <f>SUM(L63:M63)</f>
        <v>0</v>
      </c>
      <c r="O63" s="321"/>
    </row>
    <row r="64" spans="1:15" s="137" customFormat="1" ht="19.5" customHeight="1">
      <c r="A64" s="149"/>
      <c r="B64" s="150"/>
      <c r="C64" s="151" t="s">
        <v>201</v>
      </c>
      <c r="D64" s="152" t="s">
        <v>8</v>
      </c>
      <c r="E64" s="279">
        <v>2.4</v>
      </c>
      <c r="F64" s="329">
        <v>8.5399999999999991</v>
      </c>
      <c r="G64" s="330"/>
      <c r="H64" s="331">
        <v>8.5399999999999991</v>
      </c>
      <c r="I64" s="321"/>
      <c r="J64" s="321"/>
      <c r="K64" s="321"/>
      <c r="L64" s="321"/>
      <c r="M64" s="321"/>
      <c r="N64" s="321"/>
      <c r="O64" s="321"/>
    </row>
    <row r="65" spans="1:15" s="137" customFormat="1" ht="26.25" customHeight="1">
      <c r="A65" s="145" t="s">
        <v>169</v>
      </c>
      <c r="B65" s="159"/>
      <c r="C65" s="160" t="s">
        <v>167</v>
      </c>
      <c r="D65" s="161"/>
      <c r="E65" s="281"/>
      <c r="F65" s="337">
        <v>12.94</v>
      </c>
      <c r="G65" s="336"/>
      <c r="H65" s="326">
        <v>12.94</v>
      </c>
      <c r="I65" s="321"/>
      <c r="J65" s="321"/>
      <c r="K65" s="321">
        <f>I65+J65</f>
        <v>0</v>
      </c>
      <c r="L65" s="321">
        <f>H65*I65</f>
        <v>0</v>
      </c>
      <c r="M65" s="321">
        <f>H65*J65</f>
        <v>0</v>
      </c>
      <c r="N65" s="321">
        <f>SUM(L65:M65)</f>
        <v>0</v>
      </c>
      <c r="O65" s="321"/>
    </row>
    <row r="66" spans="1:15" s="137" customFormat="1" ht="19.5" customHeight="1">
      <c r="A66" s="149"/>
      <c r="B66" s="150"/>
      <c r="C66" s="151" t="s">
        <v>201</v>
      </c>
      <c r="D66" s="152" t="s">
        <v>8</v>
      </c>
      <c r="E66" s="279">
        <v>3.15</v>
      </c>
      <c r="F66" s="329">
        <v>40.76</v>
      </c>
      <c r="G66" s="330"/>
      <c r="H66" s="331">
        <v>40.76</v>
      </c>
      <c r="I66" s="321"/>
      <c r="J66" s="321"/>
      <c r="K66" s="321"/>
      <c r="L66" s="321"/>
      <c r="M66" s="321"/>
      <c r="N66" s="321"/>
      <c r="O66" s="321"/>
    </row>
    <row r="67" spans="1:15" s="137" customFormat="1" ht="27" customHeight="1">
      <c r="A67" s="145" t="s">
        <v>171</v>
      </c>
      <c r="B67" s="159"/>
      <c r="C67" s="160" t="s">
        <v>170</v>
      </c>
      <c r="D67" s="161"/>
      <c r="E67" s="281"/>
      <c r="F67" s="337">
        <v>21.21</v>
      </c>
      <c r="G67" s="336"/>
      <c r="H67" s="326">
        <v>21.21</v>
      </c>
      <c r="I67" s="321"/>
      <c r="J67" s="321"/>
      <c r="K67" s="321">
        <f>I67+J67</f>
        <v>0</v>
      </c>
      <c r="L67" s="321">
        <f>H67*I67</f>
        <v>0</v>
      </c>
      <c r="M67" s="321">
        <f>H67*J67</f>
        <v>0</v>
      </c>
      <c r="N67" s="321">
        <f>SUM(L67:M67)</f>
        <v>0</v>
      </c>
      <c r="O67" s="321"/>
    </row>
    <row r="68" spans="1:15" s="137" customFormat="1" ht="19.5" customHeight="1">
      <c r="A68" s="149"/>
      <c r="B68" s="150"/>
      <c r="C68" s="151" t="s">
        <v>187</v>
      </c>
      <c r="D68" s="152" t="s">
        <v>8</v>
      </c>
      <c r="E68" s="279">
        <v>0.2</v>
      </c>
      <c r="F68" s="329">
        <v>4.24</v>
      </c>
      <c r="G68" s="330"/>
      <c r="H68" s="331">
        <v>4.24</v>
      </c>
      <c r="I68" s="321"/>
      <c r="J68" s="321"/>
      <c r="K68" s="321"/>
      <c r="L68" s="321"/>
      <c r="M68" s="321"/>
      <c r="N68" s="321"/>
      <c r="O68" s="321"/>
    </row>
    <row r="69" spans="1:15" s="137" customFormat="1" ht="54" customHeight="1">
      <c r="A69" s="145" t="s">
        <v>172</v>
      </c>
      <c r="B69" s="159"/>
      <c r="C69" s="160" t="s">
        <v>360</v>
      </c>
      <c r="D69" s="161" t="s">
        <v>7</v>
      </c>
      <c r="E69" s="281"/>
      <c r="F69" s="337">
        <v>1.5</v>
      </c>
      <c r="G69" s="336"/>
      <c r="H69" s="326">
        <v>1.5</v>
      </c>
      <c r="I69" s="321"/>
      <c r="J69" s="321"/>
      <c r="K69" s="321">
        <f>I69+J69</f>
        <v>0</v>
      </c>
      <c r="L69" s="321">
        <f>H69*I69</f>
        <v>0</v>
      </c>
      <c r="M69" s="321">
        <f>H69*J69</f>
        <v>0</v>
      </c>
      <c r="N69" s="321">
        <f>SUM(L69:M69)</f>
        <v>0</v>
      </c>
      <c r="O69" s="321"/>
    </row>
    <row r="70" spans="1:15" s="137" customFormat="1" ht="19.5" customHeight="1">
      <c r="A70" s="149"/>
      <c r="B70" s="150"/>
      <c r="C70" s="151" t="s">
        <v>203</v>
      </c>
      <c r="D70" s="152" t="s">
        <v>7</v>
      </c>
      <c r="E70" s="279">
        <v>1.1299999999999999</v>
      </c>
      <c r="F70" s="329">
        <v>1.7</v>
      </c>
      <c r="G70" s="330"/>
      <c r="H70" s="331">
        <v>1.7</v>
      </c>
      <c r="I70" s="321"/>
      <c r="J70" s="321"/>
      <c r="K70" s="321"/>
      <c r="L70" s="321"/>
      <c r="M70" s="321"/>
      <c r="N70" s="321"/>
      <c r="O70" s="321"/>
    </row>
    <row r="71" spans="1:15" s="137" customFormat="1" ht="19.5" customHeight="1">
      <c r="A71" s="149"/>
      <c r="B71" s="150"/>
      <c r="C71" s="151" t="s">
        <v>358</v>
      </c>
      <c r="D71" s="152" t="s">
        <v>8</v>
      </c>
      <c r="E71" s="279">
        <v>1</v>
      </c>
      <c r="F71" s="329">
        <v>1.5</v>
      </c>
      <c r="G71" s="330"/>
      <c r="H71" s="331">
        <v>1.5</v>
      </c>
      <c r="I71" s="321"/>
      <c r="J71" s="321"/>
      <c r="K71" s="321"/>
      <c r="L71" s="321"/>
      <c r="M71" s="321"/>
      <c r="N71" s="321"/>
      <c r="O71" s="321"/>
    </row>
    <row r="72" spans="1:15" s="137" customFormat="1" ht="19.5" customHeight="1">
      <c r="A72" s="149"/>
      <c r="B72" s="150"/>
      <c r="C72" s="163" t="s">
        <v>359</v>
      </c>
      <c r="D72" s="164" t="s">
        <v>22</v>
      </c>
      <c r="E72" s="283">
        <v>0.05</v>
      </c>
      <c r="F72" s="329">
        <v>0.08</v>
      </c>
      <c r="G72" s="330"/>
      <c r="H72" s="331">
        <v>0.08</v>
      </c>
      <c r="I72" s="321"/>
      <c r="J72" s="321"/>
      <c r="K72" s="321"/>
      <c r="L72" s="321"/>
      <c r="M72" s="321"/>
      <c r="N72" s="321"/>
      <c r="O72" s="321"/>
    </row>
    <row r="73" spans="1:15" s="137" customFormat="1" ht="19.5" customHeight="1">
      <c r="A73" s="149"/>
      <c r="B73" s="150"/>
      <c r="C73" s="151" t="s">
        <v>201</v>
      </c>
      <c r="D73" s="152" t="s">
        <v>8</v>
      </c>
      <c r="E73" s="279">
        <v>1.2</v>
      </c>
      <c r="F73" s="329">
        <v>1.8</v>
      </c>
      <c r="G73" s="330"/>
      <c r="H73" s="331">
        <v>1.8</v>
      </c>
      <c r="I73" s="321"/>
      <c r="J73" s="321"/>
      <c r="K73" s="321"/>
      <c r="L73" s="321"/>
      <c r="M73" s="321"/>
      <c r="N73" s="321"/>
      <c r="O73" s="321"/>
    </row>
    <row r="74" spans="1:15" s="137" customFormat="1" ht="19.5" customHeight="1">
      <c r="A74" s="149"/>
      <c r="B74" s="150"/>
      <c r="C74" s="151" t="s">
        <v>188</v>
      </c>
      <c r="D74" s="152" t="s">
        <v>8</v>
      </c>
      <c r="E74" s="284">
        <v>0.2</v>
      </c>
      <c r="F74" s="329">
        <v>0.3</v>
      </c>
      <c r="G74" s="330"/>
      <c r="H74" s="331">
        <v>0.3</v>
      </c>
      <c r="I74" s="321"/>
      <c r="J74" s="321"/>
      <c r="K74" s="321"/>
      <c r="L74" s="321"/>
      <c r="M74" s="321"/>
      <c r="N74" s="321"/>
      <c r="O74" s="321"/>
    </row>
    <row r="75" spans="1:15" s="137" customFormat="1" ht="69" customHeight="1">
      <c r="A75" s="145" t="s">
        <v>318</v>
      </c>
      <c r="B75" s="159"/>
      <c r="C75" s="160" t="s">
        <v>317</v>
      </c>
      <c r="D75" s="161" t="s">
        <v>7</v>
      </c>
      <c r="E75" s="281"/>
      <c r="F75" s="337">
        <v>0.48</v>
      </c>
      <c r="G75" s="336"/>
      <c r="H75" s="326">
        <v>0.48</v>
      </c>
      <c r="I75" s="321"/>
      <c r="J75" s="321"/>
      <c r="K75" s="321">
        <f>I75+J75</f>
        <v>0</v>
      </c>
      <c r="L75" s="321">
        <f>H75*I75</f>
        <v>0</v>
      </c>
      <c r="M75" s="321">
        <f>H75*J75</f>
        <v>0</v>
      </c>
      <c r="N75" s="321">
        <f>SUM(L75:M75)</f>
        <v>0</v>
      </c>
      <c r="O75" s="321"/>
    </row>
    <row r="76" spans="1:15" s="137" customFormat="1" ht="19.5" customHeight="1">
      <c r="A76" s="149"/>
      <c r="B76" s="150"/>
      <c r="C76" s="151" t="s">
        <v>164</v>
      </c>
      <c r="D76" s="152" t="s">
        <v>21</v>
      </c>
      <c r="E76" s="279">
        <v>0.15</v>
      </c>
      <c r="F76" s="338">
        <v>0.34</v>
      </c>
      <c r="G76" s="339"/>
      <c r="H76" s="331">
        <v>0.34</v>
      </c>
      <c r="I76" s="321"/>
      <c r="J76" s="321"/>
      <c r="K76" s="321"/>
      <c r="L76" s="321"/>
      <c r="M76" s="321"/>
      <c r="N76" s="321"/>
      <c r="O76" s="321"/>
    </row>
    <row r="77" spans="1:15" s="137" customFormat="1" ht="19.5" customHeight="1">
      <c r="A77" s="149"/>
      <c r="B77" s="150"/>
      <c r="C77" s="151" t="s">
        <v>166</v>
      </c>
      <c r="D77" s="152" t="s">
        <v>8</v>
      </c>
      <c r="E77" s="279">
        <v>8.4</v>
      </c>
      <c r="F77" s="338">
        <v>19.07</v>
      </c>
      <c r="G77" s="339"/>
      <c r="H77" s="331">
        <v>19.07</v>
      </c>
      <c r="I77" s="321"/>
      <c r="J77" s="321"/>
      <c r="K77" s="321"/>
      <c r="L77" s="321"/>
      <c r="M77" s="321"/>
      <c r="N77" s="321"/>
      <c r="O77" s="321"/>
    </row>
    <row r="78" spans="1:15" s="137" customFormat="1" ht="19.5" customHeight="1">
      <c r="A78" s="149"/>
      <c r="B78" s="150"/>
      <c r="C78" s="151" t="s">
        <v>201</v>
      </c>
      <c r="D78" s="152" t="s">
        <v>8</v>
      </c>
      <c r="E78" s="279">
        <v>1.2</v>
      </c>
      <c r="F78" s="338">
        <v>2.72</v>
      </c>
      <c r="G78" s="339"/>
      <c r="H78" s="331">
        <v>2.72</v>
      </c>
      <c r="I78" s="321"/>
      <c r="J78" s="321"/>
      <c r="K78" s="321"/>
      <c r="L78" s="321"/>
      <c r="M78" s="321"/>
      <c r="N78" s="321"/>
      <c r="O78" s="321"/>
    </row>
    <row r="79" spans="1:15" s="137" customFormat="1" ht="19.5" customHeight="1">
      <c r="A79" s="149"/>
      <c r="B79" s="150"/>
      <c r="C79" s="151" t="s">
        <v>188</v>
      </c>
      <c r="D79" s="152" t="s">
        <v>8</v>
      </c>
      <c r="E79" s="279">
        <v>0.2</v>
      </c>
      <c r="F79" s="338">
        <v>0.45</v>
      </c>
      <c r="G79" s="339"/>
      <c r="H79" s="331">
        <v>0.45</v>
      </c>
      <c r="I79" s="321"/>
      <c r="J79" s="321"/>
      <c r="K79" s="321"/>
      <c r="L79" s="321"/>
      <c r="M79" s="321"/>
      <c r="N79" s="321"/>
      <c r="O79" s="321"/>
    </row>
    <row r="80" spans="1:15" s="137" customFormat="1" ht="30.75" customHeight="1">
      <c r="A80" s="143" t="s">
        <v>173</v>
      </c>
      <c r="B80" s="144"/>
      <c r="C80" s="131" t="s">
        <v>308</v>
      </c>
      <c r="D80" s="132"/>
      <c r="E80" s="277"/>
      <c r="F80" s="324"/>
      <c r="G80" s="324"/>
      <c r="H80" s="324"/>
      <c r="I80" s="321"/>
      <c r="J80" s="321"/>
      <c r="K80" s="321"/>
      <c r="L80" s="321"/>
      <c r="M80" s="321"/>
      <c r="N80" s="321"/>
      <c r="O80" s="321"/>
    </row>
    <row r="81" spans="1:15" s="137" customFormat="1" ht="38.25" customHeight="1">
      <c r="A81" s="145" t="s">
        <v>174</v>
      </c>
      <c r="B81" s="159"/>
      <c r="C81" s="160" t="s">
        <v>175</v>
      </c>
      <c r="D81" s="161" t="s">
        <v>7</v>
      </c>
      <c r="E81" s="281"/>
      <c r="F81" s="335">
        <v>26.5</v>
      </c>
      <c r="G81" s="336"/>
      <c r="H81" s="326">
        <v>26.5</v>
      </c>
      <c r="I81" s="321"/>
      <c r="J81" s="321"/>
      <c r="K81" s="321">
        <f>I81+J81</f>
        <v>0</v>
      </c>
      <c r="L81" s="321">
        <f>H81*I81</f>
        <v>0</v>
      </c>
      <c r="M81" s="321">
        <f>H81*J81</f>
        <v>0</v>
      </c>
      <c r="N81" s="321">
        <f>SUM(L81:M81)</f>
        <v>0</v>
      </c>
      <c r="O81" s="321"/>
    </row>
    <row r="82" spans="1:15" s="137" customFormat="1" ht="19.5" customHeight="1">
      <c r="A82" s="149"/>
      <c r="B82" s="150"/>
      <c r="C82" s="151" t="s">
        <v>164</v>
      </c>
      <c r="D82" s="152" t="s">
        <v>21</v>
      </c>
      <c r="E82" s="279">
        <v>0.15</v>
      </c>
      <c r="F82" s="329">
        <v>3.98</v>
      </c>
      <c r="G82" s="330"/>
      <c r="H82" s="331">
        <v>3.98</v>
      </c>
      <c r="I82" s="321"/>
      <c r="J82" s="321"/>
      <c r="K82" s="321"/>
      <c r="L82" s="321"/>
      <c r="M82" s="321"/>
      <c r="N82" s="321"/>
      <c r="O82" s="321"/>
    </row>
    <row r="83" spans="1:15" s="137" customFormat="1" ht="19.5" customHeight="1">
      <c r="A83" s="149"/>
      <c r="B83" s="150"/>
      <c r="C83" s="151" t="s">
        <v>176</v>
      </c>
      <c r="D83" s="152" t="s">
        <v>8</v>
      </c>
      <c r="E83" s="279">
        <v>17</v>
      </c>
      <c r="F83" s="329">
        <v>450.5</v>
      </c>
      <c r="G83" s="330"/>
      <c r="H83" s="331">
        <v>450.5</v>
      </c>
      <c r="I83" s="321"/>
      <c r="J83" s="321"/>
      <c r="K83" s="321"/>
      <c r="L83" s="321"/>
      <c r="M83" s="321"/>
      <c r="N83" s="321"/>
      <c r="O83" s="321"/>
    </row>
    <row r="84" spans="1:15" s="137" customFormat="1" ht="19.5" customHeight="1">
      <c r="A84" s="145" t="s">
        <v>177</v>
      </c>
      <c r="B84" s="159"/>
      <c r="C84" s="160" t="s">
        <v>178</v>
      </c>
      <c r="D84" s="161" t="s">
        <v>7</v>
      </c>
      <c r="E84" s="281"/>
      <c r="F84" s="337">
        <v>26.5</v>
      </c>
      <c r="G84" s="336"/>
      <c r="H84" s="326">
        <v>26.5</v>
      </c>
      <c r="I84" s="321"/>
      <c r="J84" s="321"/>
      <c r="K84" s="321">
        <f>I84+J84</f>
        <v>0</v>
      </c>
      <c r="L84" s="321">
        <f>H84*I84</f>
        <v>0</v>
      </c>
      <c r="M84" s="321">
        <f>H84*J84</f>
        <v>0</v>
      </c>
      <c r="N84" s="321">
        <f>SUM(L84:M84)</f>
        <v>0</v>
      </c>
      <c r="O84" s="321"/>
    </row>
    <row r="85" spans="1:15" s="137" customFormat="1" ht="19.5" customHeight="1">
      <c r="A85" s="149"/>
      <c r="B85" s="150"/>
      <c r="C85" s="151" t="s">
        <v>189</v>
      </c>
      <c r="D85" s="152" t="s">
        <v>7</v>
      </c>
      <c r="E85" s="279">
        <v>1.02</v>
      </c>
      <c r="F85" s="329">
        <v>27.03</v>
      </c>
      <c r="G85" s="330"/>
      <c r="H85" s="331">
        <v>27.03</v>
      </c>
      <c r="I85" s="321"/>
      <c r="J85" s="321"/>
      <c r="K85" s="321"/>
      <c r="L85" s="321"/>
      <c r="M85" s="321"/>
      <c r="N85" s="321"/>
      <c r="O85" s="321"/>
    </row>
    <row r="86" spans="1:15" s="137" customFormat="1" ht="19.5" customHeight="1">
      <c r="A86" s="149"/>
      <c r="B86" s="150"/>
      <c r="C86" s="151" t="s">
        <v>190</v>
      </c>
      <c r="D86" s="152" t="s">
        <v>8</v>
      </c>
      <c r="E86" s="279">
        <v>3.5</v>
      </c>
      <c r="F86" s="329">
        <v>92.75</v>
      </c>
      <c r="G86" s="330"/>
      <c r="H86" s="331">
        <v>92.75</v>
      </c>
      <c r="I86" s="321"/>
      <c r="J86" s="321"/>
      <c r="K86" s="321"/>
      <c r="L86" s="321"/>
      <c r="M86" s="321"/>
      <c r="N86" s="321"/>
      <c r="O86" s="321"/>
    </row>
    <row r="87" spans="1:15" s="137" customFormat="1" ht="51" customHeight="1">
      <c r="A87" s="145" t="s">
        <v>179</v>
      </c>
      <c r="B87" s="159"/>
      <c r="C87" s="160" t="s">
        <v>319</v>
      </c>
      <c r="D87" s="161" t="s">
        <v>7</v>
      </c>
      <c r="E87" s="281"/>
      <c r="F87" s="337">
        <v>0.36</v>
      </c>
      <c r="G87" s="336"/>
      <c r="H87" s="326">
        <v>0.36</v>
      </c>
      <c r="I87" s="321"/>
      <c r="J87" s="321"/>
      <c r="K87" s="321">
        <f>I87+J87</f>
        <v>0</v>
      </c>
      <c r="L87" s="321">
        <f>H87*I87</f>
        <v>0</v>
      </c>
      <c r="M87" s="321">
        <f>H87*J87</f>
        <v>0</v>
      </c>
      <c r="N87" s="321">
        <f>SUM(L87:M87)</f>
        <v>0</v>
      </c>
      <c r="O87" s="321"/>
    </row>
    <row r="88" spans="1:15" s="137" customFormat="1" ht="19.5" customHeight="1">
      <c r="A88" s="149"/>
      <c r="B88" s="150"/>
      <c r="C88" s="151" t="s">
        <v>164</v>
      </c>
      <c r="D88" s="152" t="s">
        <v>21</v>
      </c>
      <c r="E88" s="279">
        <v>0.15</v>
      </c>
      <c r="F88" s="329">
        <v>0.05</v>
      </c>
      <c r="G88" s="330"/>
      <c r="H88" s="331">
        <v>0.05</v>
      </c>
      <c r="I88" s="321"/>
      <c r="J88" s="321"/>
      <c r="K88" s="321"/>
      <c r="L88" s="321"/>
      <c r="M88" s="321"/>
      <c r="N88" s="321"/>
      <c r="O88" s="321"/>
    </row>
    <row r="89" spans="1:15" s="137" customFormat="1" ht="19.5" customHeight="1">
      <c r="A89" s="149"/>
      <c r="B89" s="150"/>
      <c r="C89" s="151" t="s">
        <v>176</v>
      </c>
      <c r="D89" s="152" t="s">
        <v>8</v>
      </c>
      <c r="E89" s="279">
        <v>17</v>
      </c>
      <c r="F89" s="329">
        <v>6.12</v>
      </c>
      <c r="G89" s="330"/>
      <c r="H89" s="331">
        <v>6.12</v>
      </c>
      <c r="I89" s="321"/>
      <c r="J89" s="321"/>
      <c r="K89" s="321"/>
      <c r="L89" s="321"/>
      <c r="M89" s="321"/>
      <c r="N89" s="321"/>
      <c r="O89" s="321"/>
    </row>
    <row r="90" spans="1:15" s="137" customFormat="1" ht="19.5" customHeight="1">
      <c r="A90" s="149"/>
      <c r="B90" s="150"/>
      <c r="C90" s="151" t="s">
        <v>189</v>
      </c>
      <c r="D90" s="152" t="s">
        <v>7</v>
      </c>
      <c r="E90" s="279">
        <v>1.02</v>
      </c>
      <c r="F90" s="329">
        <v>0.37</v>
      </c>
      <c r="G90" s="330"/>
      <c r="H90" s="331">
        <v>0.37</v>
      </c>
      <c r="I90" s="321"/>
      <c r="J90" s="321"/>
      <c r="K90" s="321"/>
      <c r="L90" s="321"/>
      <c r="M90" s="321"/>
      <c r="N90" s="321"/>
      <c r="O90" s="321"/>
    </row>
    <row r="91" spans="1:15" s="137" customFormat="1" ht="19.5" customHeight="1">
      <c r="A91" s="149"/>
      <c r="B91" s="150"/>
      <c r="C91" s="151" t="s">
        <v>190</v>
      </c>
      <c r="D91" s="152" t="s">
        <v>8</v>
      </c>
      <c r="E91" s="279">
        <v>3.5</v>
      </c>
      <c r="F91" s="329">
        <v>1.26</v>
      </c>
      <c r="G91" s="330"/>
      <c r="H91" s="331">
        <v>1.26</v>
      </c>
      <c r="I91" s="321"/>
      <c r="J91" s="321"/>
      <c r="K91" s="321"/>
      <c r="L91" s="321"/>
      <c r="M91" s="321"/>
      <c r="N91" s="321"/>
      <c r="O91" s="321"/>
    </row>
    <row r="92" spans="1:15" s="137" customFormat="1" ht="30" customHeight="1">
      <c r="A92" s="143" t="s">
        <v>181</v>
      </c>
      <c r="B92" s="144"/>
      <c r="C92" s="131" t="s">
        <v>310</v>
      </c>
      <c r="D92" s="132"/>
      <c r="E92" s="277"/>
      <c r="F92" s="324"/>
      <c r="G92" s="324"/>
      <c r="H92" s="324"/>
      <c r="I92" s="320"/>
      <c r="J92" s="321"/>
      <c r="K92" s="321"/>
      <c r="L92" s="321"/>
      <c r="M92" s="321"/>
      <c r="N92" s="321"/>
      <c r="O92" s="321"/>
    </row>
    <row r="93" spans="1:15" s="137" customFormat="1" ht="21.75" customHeight="1">
      <c r="A93" s="145" t="s">
        <v>182</v>
      </c>
      <c r="B93" s="159"/>
      <c r="C93" s="160" t="s">
        <v>312</v>
      </c>
      <c r="D93" s="161" t="s">
        <v>7</v>
      </c>
      <c r="E93" s="281"/>
      <c r="F93" s="335">
        <v>4.22</v>
      </c>
      <c r="G93" s="336"/>
      <c r="H93" s="326">
        <v>4.22</v>
      </c>
      <c r="I93" s="320"/>
      <c r="J93" s="321"/>
      <c r="K93" s="321">
        <f>I93+J93</f>
        <v>0</v>
      </c>
      <c r="L93" s="321">
        <f>H93*I93</f>
        <v>0</v>
      </c>
      <c r="M93" s="321">
        <f>H93*J93</f>
        <v>0</v>
      </c>
      <c r="N93" s="321">
        <f>SUM(L93:M93)</f>
        <v>0</v>
      </c>
      <c r="O93" s="321"/>
    </row>
    <row r="94" spans="1:15" s="137" customFormat="1" ht="105">
      <c r="A94" s="149"/>
      <c r="B94" s="150"/>
      <c r="C94" s="151" t="s">
        <v>311</v>
      </c>
      <c r="D94" s="152" t="s">
        <v>22</v>
      </c>
      <c r="E94" s="279">
        <v>0.15</v>
      </c>
      <c r="F94" s="329">
        <v>0.65</v>
      </c>
      <c r="G94" s="330"/>
      <c r="H94" s="331">
        <v>0.65</v>
      </c>
      <c r="I94" s="321"/>
      <c r="J94" s="321"/>
      <c r="K94" s="321"/>
      <c r="L94" s="321"/>
      <c r="M94" s="321"/>
      <c r="N94" s="321"/>
      <c r="O94" s="321"/>
    </row>
    <row r="95" spans="1:15" s="137" customFormat="1" ht="21" customHeight="1">
      <c r="A95" s="149"/>
      <c r="B95" s="150"/>
      <c r="C95" s="151" t="s">
        <v>186</v>
      </c>
      <c r="D95" s="152" t="s">
        <v>8</v>
      </c>
      <c r="E95" s="279">
        <v>6</v>
      </c>
      <c r="F95" s="329">
        <v>25.32</v>
      </c>
      <c r="G95" s="330"/>
      <c r="H95" s="331">
        <v>25.32</v>
      </c>
      <c r="I95" s="321"/>
      <c r="J95" s="321"/>
      <c r="K95" s="321"/>
      <c r="L95" s="321"/>
      <c r="M95" s="321"/>
      <c r="N95" s="321"/>
      <c r="O95" s="321"/>
    </row>
    <row r="96" spans="1:15" s="137" customFormat="1" ht="21" customHeight="1">
      <c r="A96" s="149"/>
      <c r="B96" s="150"/>
      <c r="C96" s="151" t="s">
        <v>23</v>
      </c>
      <c r="D96" s="152" t="s">
        <v>20</v>
      </c>
      <c r="E96" s="279">
        <v>7</v>
      </c>
      <c r="F96" s="329">
        <v>30</v>
      </c>
      <c r="G96" s="330"/>
      <c r="H96" s="331">
        <v>30</v>
      </c>
      <c r="I96" s="321"/>
      <c r="J96" s="321"/>
      <c r="K96" s="321"/>
      <c r="L96" s="321"/>
      <c r="M96" s="321"/>
      <c r="N96" s="321"/>
      <c r="O96" s="321"/>
    </row>
    <row r="97" spans="1:15" s="137" customFormat="1" ht="19.5" customHeight="1">
      <c r="A97" s="145" t="s">
        <v>183</v>
      </c>
      <c r="B97" s="159"/>
      <c r="C97" s="147" t="s">
        <v>326</v>
      </c>
      <c r="D97" s="148" t="s">
        <v>7</v>
      </c>
      <c r="E97" s="278"/>
      <c r="F97" s="337">
        <v>2.36</v>
      </c>
      <c r="G97" s="336">
        <v>2.36</v>
      </c>
      <c r="H97" s="326">
        <v>4.72</v>
      </c>
      <c r="I97" s="320"/>
      <c r="J97" s="321"/>
      <c r="K97" s="321">
        <f>I97+J97</f>
        <v>0</v>
      </c>
      <c r="L97" s="321">
        <f>H97*I97</f>
        <v>0</v>
      </c>
      <c r="M97" s="321">
        <f>H97*J97</f>
        <v>0</v>
      </c>
      <c r="N97" s="321">
        <f>SUM(L97:M97)</f>
        <v>0</v>
      </c>
      <c r="O97" s="321"/>
    </row>
    <row r="98" spans="1:15" s="137" customFormat="1" ht="19.5" customHeight="1">
      <c r="A98" s="149"/>
      <c r="B98" s="150"/>
      <c r="C98" s="151" t="s">
        <v>324</v>
      </c>
      <c r="D98" s="162" t="s">
        <v>7</v>
      </c>
      <c r="E98" s="282">
        <v>2.2599999999999998</v>
      </c>
      <c r="F98" s="338">
        <v>5.33</v>
      </c>
      <c r="G98" s="339">
        <v>5.33</v>
      </c>
      <c r="H98" s="340">
        <v>10.66</v>
      </c>
      <c r="I98" s="321"/>
      <c r="J98" s="321"/>
      <c r="K98" s="321"/>
      <c r="L98" s="321"/>
      <c r="M98" s="321"/>
      <c r="N98" s="321"/>
      <c r="O98" s="321"/>
    </row>
    <row r="99" spans="1:15" s="137" customFormat="1" ht="19.5" customHeight="1">
      <c r="A99" s="149"/>
      <c r="B99" s="150"/>
      <c r="C99" s="151" t="s">
        <v>204</v>
      </c>
      <c r="D99" s="162" t="s">
        <v>18</v>
      </c>
      <c r="E99" s="282">
        <v>0.76</v>
      </c>
      <c r="F99" s="338">
        <v>1.79</v>
      </c>
      <c r="G99" s="339">
        <v>1.79</v>
      </c>
      <c r="H99" s="331">
        <v>3.58</v>
      </c>
      <c r="I99" s="321"/>
      <c r="J99" s="321"/>
      <c r="K99" s="321"/>
      <c r="L99" s="321"/>
      <c r="M99" s="321"/>
      <c r="N99" s="321"/>
      <c r="O99" s="321"/>
    </row>
    <row r="100" spans="1:15" s="137" customFormat="1" ht="19.5" customHeight="1">
      <c r="A100" s="149"/>
      <c r="B100" s="150"/>
      <c r="C100" s="151" t="s">
        <v>205</v>
      </c>
      <c r="D100" s="162" t="s">
        <v>18</v>
      </c>
      <c r="E100" s="282">
        <v>2</v>
      </c>
      <c r="F100" s="338">
        <v>4.72</v>
      </c>
      <c r="G100" s="339">
        <v>4.72</v>
      </c>
      <c r="H100" s="331">
        <v>9.44</v>
      </c>
      <c r="I100" s="321"/>
      <c r="J100" s="321"/>
      <c r="K100" s="321"/>
      <c r="L100" s="321"/>
      <c r="M100" s="321"/>
      <c r="N100" s="321"/>
      <c r="O100" s="321"/>
    </row>
    <row r="101" spans="1:15" s="137" customFormat="1" ht="19.5" customHeight="1">
      <c r="A101" s="145" t="s">
        <v>184</v>
      </c>
      <c r="B101" s="159"/>
      <c r="C101" s="147" t="s">
        <v>325</v>
      </c>
      <c r="D101" s="148" t="s">
        <v>7</v>
      </c>
      <c r="E101" s="278"/>
      <c r="F101" s="337">
        <v>8.2200000000000006</v>
      </c>
      <c r="G101" s="336">
        <v>8.2200000000000006</v>
      </c>
      <c r="H101" s="326">
        <v>16.440000000000001</v>
      </c>
      <c r="I101" s="321"/>
      <c r="J101" s="321"/>
      <c r="K101" s="321">
        <f>I101+J101</f>
        <v>0</v>
      </c>
      <c r="L101" s="321">
        <f>H101*I101</f>
        <v>0</v>
      </c>
      <c r="M101" s="321">
        <f>H101*J101</f>
        <v>0</v>
      </c>
      <c r="N101" s="321">
        <f>SUM(L101:M101)</f>
        <v>0</v>
      </c>
      <c r="O101" s="321"/>
    </row>
    <row r="102" spans="1:15" s="137" customFormat="1" ht="19.5" customHeight="1">
      <c r="A102" s="149"/>
      <c r="B102" s="150"/>
      <c r="C102" s="151" t="s">
        <v>324</v>
      </c>
      <c r="D102" s="162" t="s">
        <v>7</v>
      </c>
      <c r="E102" s="285">
        <v>2.2599999999999998</v>
      </c>
      <c r="F102" s="338">
        <v>18.579999999999998</v>
      </c>
      <c r="G102" s="339">
        <v>18.579999999999998</v>
      </c>
      <c r="H102" s="340">
        <v>37.159999999999997</v>
      </c>
      <c r="I102" s="321"/>
      <c r="J102" s="321"/>
      <c r="K102" s="321"/>
      <c r="L102" s="321"/>
      <c r="M102" s="321"/>
      <c r="N102" s="321"/>
      <c r="O102" s="321"/>
    </row>
    <row r="103" spans="1:15" s="137" customFormat="1" ht="19.5" customHeight="1">
      <c r="A103" s="149"/>
      <c r="B103" s="150"/>
      <c r="C103" s="151" t="s">
        <v>204</v>
      </c>
      <c r="D103" s="162" t="s">
        <v>18</v>
      </c>
      <c r="E103" s="282">
        <v>0.76</v>
      </c>
      <c r="F103" s="338">
        <v>6.25</v>
      </c>
      <c r="G103" s="339">
        <v>6.25</v>
      </c>
      <c r="H103" s="331">
        <v>12.5</v>
      </c>
      <c r="I103" s="321"/>
      <c r="J103" s="321"/>
      <c r="K103" s="321"/>
      <c r="L103" s="321"/>
      <c r="M103" s="321"/>
      <c r="N103" s="321"/>
      <c r="O103" s="321"/>
    </row>
    <row r="104" spans="1:15" s="137" customFormat="1" ht="19.5" customHeight="1">
      <c r="A104" s="149"/>
      <c r="B104" s="150"/>
      <c r="C104" s="151" t="s">
        <v>205</v>
      </c>
      <c r="D104" s="162" t="s">
        <v>18</v>
      </c>
      <c r="E104" s="282">
        <v>2</v>
      </c>
      <c r="F104" s="338">
        <v>16.440000000000001</v>
      </c>
      <c r="G104" s="339">
        <v>16.440000000000001</v>
      </c>
      <c r="H104" s="331">
        <v>32.880000000000003</v>
      </c>
      <c r="I104" s="321"/>
      <c r="J104" s="321"/>
      <c r="K104" s="321"/>
      <c r="L104" s="321"/>
      <c r="M104" s="321"/>
      <c r="N104" s="321"/>
      <c r="O104" s="321"/>
    </row>
    <row r="105" spans="1:15" s="137" customFormat="1" ht="43.5" customHeight="1">
      <c r="A105" s="145" t="s">
        <v>185</v>
      </c>
      <c r="B105" s="159"/>
      <c r="C105" s="160" t="s">
        <v>163</v>
      </c>
      <c r="D105" s="161" t="s">
        <v>7</v>
      </c>
      <c r="E105" s="281"/>
      <c r="F105" s="337">
        <v>3.82</v>
      </c>
      <c r="G105" s="336"/>
      <c r="H105" s="326">
        <v>3.82</v>
      </c>
      <c r="I105" s="321"/>
      <c r="J105" s="321"/>
      <c r="K105" s="321">
        <f>I105+J105</f>
        <v>0</v>
      </c>
      <c r="L105" s="321">
        <f>H105*I105</f>
        <v>0</v>
      </c>
      <c r="M105" s="321">
        <f>H105*J105</f>
        <v>0</v>
      </c>
      <c r="N105" s="321">
        <f>SUM(L105:M105)</f>
        <v>0</v>
      </c>
      <c r="O105" s="321"/>
    </row>
    <row r="106" spans="1:15" s="137" customFormat="1" ht="19.5" customHeight="1">
      <c r="A106" s="149"/>
      <c r="B106" s="150"/>
      <c r="C106" s="151" t="s">
        <v>164</v>
      </c>
      <c r="D106" s="162" t="s">
        <v>21</v>
      </c>
      <c r="E106" s="282">
        <v>0.15</v>
      </c>
      <c r="F106" s="338">
        <v>0.56999999999999995</v>
      </c>
      <c r="G106" s="339"/>
      <c r="H106" s="331">
        <v>0.56999999999999995</v>
      </c>
      <c r="I106" s="321"/>
      <c r="J106" s="321"/>
      <c r="K106" s="321"/>
      <c r="L106" s="321"/>
      <c r="M106" s="321"/>
      <c r="N106" s="321"/>
      <c r="O106" s="321"/>
    </row>
    <row r="107" spans="1:15" s="137" customFormat="1" ht="19.5" customHeight="1">
      <c r="A107" s="149"/>
      <c r="B107" s="150"/>
      <c r="C107" s="151" t="s">
        <v>166</v>
      </c>
      <c r="D107" s="162" t="s">
        <v>8</v>
      </c>
      <c r="E107" s="285">
        <v>6.8</v>
      </c>
      <c r="F107" s="338">
        <v>25.98</v>
      </c>
      <c r="G107" s="339"/>
      <c r="H107" s="331">
        <v>25.98</v>
      </c>
      <c r="I107" s="321"/>
      <c r="J107" s="321"/>
      <c r="K107" s="321"/>
      <c r="L107" s="321"/>
      <c r="M107" s="321"/>
      <c r="N107" s="321"/>
      <c r="O107" s="321"/>
    </row>
    <row r="108" spans="1:15" s="137" customFormat="1" ht="19.5" customHeight="1">
      <c r="A108" s="145" t="s">
        <v>192</v>
      </c>
      <c r="B108" s="159"/>
      <c r="C108" s="160" t="s">
        <v>168</v>
      </c>
      <c r="D108" s="161" t="s">
        <v>7</v>
      </c>
      <c r="E108" s="281"/>
      <c r="F108" s="337">
        <v>149.62</v>
      </c>
      <c r="G108" s="336">
        <v>119.53</v>
      </c>
      <c r="H108" s="326">
        <v>269.14999999999998</v>
      </c>
      <c r="I108" s="321"/>
      <c r="J108" s="321"/>
      <c r="K108" s="321">
        <f>I108+J108</f>
        <v>0</v>
      </c>
      <c r="L108" s="321">
        <f>H108*I108</f>
        <v>0</v>
      </c>
      <c r="M108" s="321">
        <f>H108*J108</f>
        <v>0</v>
      </c>
      <c r="N108" s="321">
        <f>SUM(L108:M108)</f>
        <v>0</v>
      </c>
      <c r="O108" s="321"/>
    </row>
    <row r="109" spans="1:15" s="137" customFormat="1" ht="19.5" customHeight="1">
      <c r="A109" s="149"/>
      <c r="B109" s="150"/>
      <c r="C109" s="151" t="s">
        <v>201</v>
      </c>
      <c r="D109" s="162" t="s">
        <v>8</v>
      </c>
      <c r="E109" s="285">
        <v>2.4</v>
      </c>
      <c r="F109" s="338">
        <v>359.09</v>
      </c>
      <c r="G109" s="339">
        <v>286.87</v>
      </c>
      <c r="H109" s="331">
        <v>645.96</v>
      </c>
      <c r="I109" s="321"/>
      <c r="J109" s="321"/>
      <c r="K109" s="321"/>
      <c r="L109" s="321"/>
      <c r="M109" s="321"/>
      <c r="N109" s="321"/>
      <c r="O109" s="321"/>
    </row>
    <row r="110" spans="1:15" s="137" customFormat="1" ht="27" customHeight="1">
      <c r="A110" s="145" t="s">
        <v>193</v>
      </c>
      <c r="B110" s="159"/>
      <c r="C110" s="160" t="s">
        <v>167</v>
      </c>
      <c r="D110" s="161" t="s">
        <v>7</v>
      </c>
      <c r="E110" s="281"/>
      <c r="F110" s="337">
        <v>91.28</v>
      </c>
      <c r="G110" s="336">
        <v>52.65</v>
      </c>
      <c r="H110" s="326">
        <v>143.93</v>
      </c>
      <c r="I110" s="341"/>
      <c r="J110" s="321"/>
      <c r="K110" s="321">
        <f>I110+J110</f>
        <v>0</v>
      </c>
      <c r="L110" s="321">
        <f>H110*I110</f>
        <v>0</v>
      </c>
      <c r="M110" s="321">
        <f>H110*J110</f>
        <v>0</v>
      </c>
      <c r="N110" s="321">
        <f>SUM(L110:M110)</f>
        <v>0</v>
      </c>
      <c r="O110" s="321"/>
    </row>
    <row r="111" spans="1:15" s="137" customFormat="1" ht="19.5" customHeight="1">
      <c r="A111" s="149"/>
      <c r="B111" s="150"/>
      <c r="C111" s="151" t="s">
        <v>201</v>
      </c>
      <c r="D111" s="162" t="s">
        <v>8</v>
      </c>
      <c r="E111" s="285">
        <v>3.15</v>
      </c>
      <c r="F111" s="338">
        <v>287.52999999999997</v>
      </c>
      <c r="G111" s="339">
        <v>165.85</v>
      </c>
      <c r="H111" s="331">
        <v>453.38</v>
      </c>
      <c r="I111" s="321"/>
      <c r="J111" s="321"/>
      <c r="K111" s="321"/>
      <c r="L111" s="321"/>
      <c r="M111" s="321"/>
      <c r="N111" s="321"/>
      <c r="O111" s="321"/>
    </row>
    <row r="112" spans="1:15" s="137" customFormat="1" ht="27" customHeight="1">
      <c r="A112" s="145" t="s">
        <v>195</v>
      </c>
      <c r="B112" s="159"/>
      <c r="C112" s="160" t="s">
        <v>307</v>
      </c>
      <c r="D112" s="161" t="s">
        <v>7</v>
      </c>
      <c r="E112" s="281"/>
      <c r="F112" s="337">
        <v>10.58</v>
      </c>
      <c r="G112" s="336">
        <v>10.58</v>
      </c>
      <c r="H112" s="326">
        <v>21.16</v>
      </c>
      <c r="I112" s="321"/>
      <c r="J112" s="321"/>
      <c r="K112" s="321">
        <f>I112+J112</f>
        <v>0</v>
      </c>
      <c r="L112" s="321">
        <f>H112*I112</f>
        <v>0</v>
      </c>
      <c r="M112" s="321">
        <f>H112*J112</f>
        <v>0</v>
      </c>
      <c r="N112" s="321">
        <f>SUM(L112:M112)</f>
        <v>0</v>
      </c>
      <c r="O112" s="321"/>
    </row>
    <row r="113" spans="1:15" s="137" customFormat="1" ht="19.5" customHeight="1">
      <c r="A113" s="149"/>
      <c r="B113" s="150"/>
      <c r="C113" s="151" t="s">
        <v>164</v>
      </c>
      <c r="D113" s="162" t="s">
        <v>21</v>
      </c>
      <c r="E113" s="282">
        <v>0.1</v>
      </c>
      <c r="F113" s="338">
        <v>1.06</v>
      </c>
      <c r="G113" s="339">
        <v>1.1000000000000001</v>
      </c>
      <c r="H113" s="331">
        <v>2.16</v>
      </c>
      <c r="I113" s="321"/>
      <c r="J113" s="321"/>
      <c r="K113" s="321"/>
      <c r="L113" s="321"/>
      <c r="M113" s="321"/>
      <c r="N113" s="321"/>
      <c r="O113" s="321"/>
    </row>
    <row r="114" spans="1:15" s="137" customFormat="1" ht="19.5" customHeight="1">
      <c r="A114" s="149"/>
      <c r="B114" s="150"/>
      <c r="C114" s="151" t="s">
        <v>201</v>
      </c>
      <c r="D114" s="162" t="s">
        <v>8</v>
      </c>
      <c r="E114" s="285">
        <v>0.46</v>
      </c>
      <c r="F114" s="338">
        <v>4.87</v>
      </c>
      <c r="G114" s="339">
        <v>4.87</v>
      </c>
      <c r="H114" s="331">
        <v>9.74</v>
      </c>
      <c r="I114" s="321"/>
      <c r="J114" s="321"/>
      <c r="K114" s="321"/>
      <c r="L114" s="321"/>
      <c r="M114" s="321"/>
      <c r="N114" s="321"/>
      <c r="O114" s="321"/>
    </row>
    <row r="115" spans="1:15" s="137" customFormat="1" ht="32.25" customHeight="1">
      <c r="A115" s="145" t="s">
        <v>196</v>
      </c>
      <c r="B115" s="159"/>
      <c r="C115" s="160" t="s">
        <v>194</v>
      </c>
      <c r="D115" s="161" t="s">
        <v>7</v>
      </c>
      <c r="E115" s="281"/>
      <c r="F115" s="337">
        <v>255.3</v>
      </c>
      <c r="G115" s="336">
        <v>182.76</v>
      </c>
      <c r="H115" s="326">
        <v>438.06</v>
      </c>
      <c r="I115" s="321"/>
      <c r="J115" s="321"/>
      <c r="K115" s="321">
        <f>I115+J115</f>
        <v>0</v>
      </c>
      <c r="L115" s="321">
        <f>H115*I115</f>
        <v>0</v>
      </c>
      <c r="M115" s="321">
        <f>H115*J115</f>
        <v>0</v>
      </c>
      <c r="N115" s="321">
        <f>SUM(L115:M115)</f>
        <v>0</v>
      </c>
      <c r="O115" s="321"/>
    </row>
    <row r="116" spans="1:15" s="137" customFormat="1" ht="19.5" customHeight="1">
      <c r="A116" s="149"/>
      <c r="B116" s="150"/>
      <c r="C116" s="151" t="s">
        <v>323</v>
      </c>
      <c r="D116" s="162" t="s">
        <v>8</v>
      </c>
      <c r="E116" s="282">
        <v>2</v>
      </c>
      <c r="F116" s="338">
        <v>510.6</v>
      </c>
      <c r="G116" s="339">
        <v>365.5</v>
      </c>
      <c r="H116" s="331">
        <v>876.1</v>
      </c>
      <c r="I116" s="321"/>
      <c r="J116" s="321"/>
      <c r="K116" s="321"/>
      <c r="L116" s="321"/>
      <c r="M116" s="321"/>
      <c r="N116" s="321"/>
      <c r="O116" s="321"/>
    </row>
    <row r="117" spans="1:15" s="137" customFormat="1" ht="26.25" customHeight="1">
      <c r="A117" s="145" t="s">
        <v>306</v>
      </c>
      <c r="B117" s="159"/>
      <c r="C117" s="160" t="s">
        <v>433</v>
      </c>
      <c r="D117" s="161" t="s">
        <v>7</v>
      </c>
      <c r="E117" s="281"/>
      <c r="F117" s="337">
        <v>4.22</v>
      </c>
      <c r="G117" s="336"/>
      <c r="H117" s="326">
        <v>4.22</v>
      </c>
      <c r="I117" s="321"/>
      <c r="J117" s="321"/>
      <c r="K117" s="321">
        <f>I117+J117</f>
        <v>0</v>
      </c>
      <c r="L117" s="321">
        <f>H117*I117</f>
        <v>0</v>
      </c>
      <c r="M117" s="321">
        <f>H117*J117</f>
        <v>0</v>
      </c>
      <c r="N117" s="321">
        <f>SUM(L117:M117)</f>
        <v>0</v>
      </c>
      <c r="O117" s="321"/>
    </row>
    <row r="118" spans="1:15" s="137" customFormat="1" ht="21" customHeight="1">
      <c r="A118" s="149"/>
      <c r="B118" s="150"/>
      <c r="C118" s="151" t="s">
        <v>209</v>
      </c>
      <c r="D118" s="152" t="s">
        <v>8</v>
      </c>
      <c r="E118" s="279">
        <v>6</v>
      </c>
      <c r="F118" s="329">
        <v>25.32</v>
      </c>
      <c r="G118" s="330"/>
      <c r="H118" s="331">
        <v>25.32</v>
      </c>
      <c r="I118" s="321"/>
      <c r="J118" s="321"/>
      <c r="K118" s="321"/>
      <c r="L118" s="321"/>
      <c r="M118" s="321"/>
      <c r="N118" s="321"/>
      <c r="O118" s="321"/>
    </row>
    <row r="119" spans="1:15" s="137" customFormat="1" ht="21" customHeight="1">
      <c r="A119" s="149"/>
      <c r="B119" s="150"/>
      <c r="C119" s="151" t="s">
        <v>210</v>
      </c>
      <c r="D119" s="152" t="s">
        <v>7</v>
      </c>
      <c r="E119" s="279">
        <v>1.1499999999999999</v>
      </c>
      <c r="F119" s="329">
        <v>4.8499999999999996</v>
      </c>
      <c r="G119" s="330"/>
      <c r="H119" s="331">
        <v>4.8499999999999996</v>
      </c>
      <c r="I119" s="321"/>
      <c r="J119" s="321"/>
      <c r="K119" s="321"/>
      <c r="L119" s="321"/>
      <c r="M119" s="321"/>
      <c r="N119" s="321"/>
      <c r="O119" s="321"/>
    </row>
    <row r="120" spans="1:15" s="137" customFormat="1" ht="21" customHeight="1">
      <c r="A120" s="149"/>
      <c r="B120" s="150"/>
      <c r="C120" s="151" t="s">
        <v>149</v>
      </c>
      <c r="D120" s="152" t="s">
        <v>8</v>
      </c>
      <c r="E120" s="279">
        <v>0.3</v>
      </c>
      <c r="F120" s="329">
        <v>1.27</v>
      </c>
      <c r="G120" s="330"/>
      <c r="H120" s="331">
        <v>1.27</v>
      </c>
      <c r="I120" s="321"/>
      <c r="J120" s="321"/>
      <c r="K120" s="321"/>
      <c r="L120" s="321"/>
      <c r="M120" s="321"/>
      <c r="N120" s="321"/>
      <c r="O120" s="321"/>
    </row>
    <row r="121" spans="1:15" s="137" customFormat="1" ht="21" customHeight="1">
      <c r="A121" s="149"/>
      <c r="B121" s="150"/>
      <c r="C121" s="151" t="s">
        <v>151</v>
      </c>
      <c r="D121" s="152" t="s">
        <v>8</v>
      </c>
      <c r="E121" s="279">
        <v>3</v>
      </c>
      <c r="F121" s="329">
        <v>12.66</v>
      </c>
      <c r="G121" s="330"/>
      <c r="H121" s="331">
        <v>12.66</v>
      </c>
      <c r="I121" s="321"/>
      <c r="J121" s="321"/>
      <c r="K121" s="321"/>
      <c r="L121" s="321"/>
      <c r="M121" s="321"/>
      <c r="N121" s="321"/>
      <c r="O121" s="321"/>
    </row>
    <row r="122" spans="1:15" s="137" customFormat="1" ht="24.75" customHeight="1">
      <c r="A122" s="149"/>
      <c r="B122" s="150"/>
      <c r="C122" s="151" t="s">
        <v>191</v>
      </c>
      <c r="D122" s="152" t="s">
        <v>8</v>
      </c>
      <c r="E122" s="279">
        <v>0.3</v>
      </c>
      <c r="F122" s="329">
        <v>1.27</v>
      </c>
      <c r="G122" s="330"/>
      <c r="H122" s="331">
        <v>1.27</v>
      </c>
      <c r="I122" s="321"/>
      <c r="J122" s="321"/>
      <c r="K122" s="321"/>
      <c r="L122" s="321"/>
      <c r="M122" s="321"/>
      <c r="N122" s="321"/>
      <c r="O122" s="321"/>
    </row>
    <row r="123" spans="1:15" s="137" customFormat="1" ht="58.5" customHeight="1">
      <c r="A123" s="145" t="s">
        <v>321</v>
      </c>
      <c r="B123" s="159"/>
      <c r="C123" s="160" t="s">
        <v>360</v>
      </c>
      <c r="D123" s="161" t="s">
        <v>7</v>
      </c>
      <c r="E123" s="281"/>
      <c r="F123" s="337">
        <v>1.4</v>
      </c>
      <c r="G123" s="336"/>
      <c r="H123" s="326">
        <v>1.4</v>
      </c>
      <c r="I123" s="321"/>
      <c r="J123" s="321"/>
      <c r="K123" s="321">
        <f>I123+J123</f>
        <v>0</v>
      </c>
      <c r="L123" s="321">
        <f>H123*I123</f>
        <v>0</v>
      </c>
      <c r="M123" s="321">
        <f>H123*J123</f>
        <v>0</v>
      </c>
      <c r="N123" s="321">
        <f>SUM(L123:M123)</f>
        <v>0</v>
      </c>
      <c r="O123" s="321"/>
    </row>
    <row r="124" spans="1:15" s="137" customFormat="1" ht="19.5" customHeight="1">
      <c r="A124" s="149"/>
      <c r="B124" s="150"/>
      <c r="C124" s="151" t="s">
        <v>203</v>
      </c>
      <c r="D124" s="152" t="s">
        <v>7</v>
      </c>
      <c r="E124" s="279">
        <v>1.1299999999999999</v>
      </c>
      <c r="F124" s="338">
        <v>1.58</v>
      </c>
      <c r="G124" s="339"/>
      <c r="H124" s="331">
        <v>1.58</v>
      </c>
      <c r="I124" s="321"/>
      <c r="J124" s="321"/>
      <c r="K124" s="321"/>
      <c r="L124" s="321"/>
      <c r="M124" s="321"/>
      <c r="N124" s="321"/>
      <c r="O124" s="321"/>
    </row>
    <row r="125" spans="1:15" s="137" customFormat="1" ht="19.5" customHeight="1">
      <c r="A125" s="149"/>
      <c r="B125" s="150"/>
      <c r="C125" s="151" t="s">
        <v>358</v>
      </c>
      <c r="D125" s="152" t="s">
        <v>8</v>
      </c>
      <c r="E125" s="279">
        <v>1</v>
      </c>
      <c r="F125" s="338">
        <v>1.4</v>
      </c>
      <c r="G125" s="339"/>
      <c r="H125" s="331">
        <v>1.4</v>
      </c>
      <c r="I125" s="321"/>
      <c r="J125" s="321"/>
      <c r="K125" s="321"/>
      <c r="L125" s="321"/>
      <c r="M125" s="321"/>
      <c r="N125" s="321"/>
      <c r="O125" s="321"/>
    </row>
    <row r="126" spans="1:15" s="137" customFormat="1" ht="19.5" customHeight="1">
      <c r="A126" s="149"/>
      <c r="B126" s="150"/>
      <c r="C126" s="163" t="s">
        <v>359</v>
      </c>
      <c r="D126" s="164" t="s">
        <v>22</v>
      </c>
      <c r="E126" s="283">
        <v>0.05</v>
      </c>
      <c r="F126" s="338">
        <v>7.0000000000000007E-2</v>
      </c>
      <c r="G126" s="339"/>
      <c r="H126" s="331">
        <v>7.0000000000000007E-2</v>
      </c>
      <c r="I126" s="321"/>
      <c r="J126" s="321"/>
      <c r="K126" s="321"/>
      <c r="L126" s="321"/>
      <c r="M126" s="321"/>
      <c r="N126" s="321"/>
      <c r="O126" s="321"/>
    </row>
    <row r="127" spans="1:15" s="137" customFormat="1" ht="19.5" customHeight="1">
      <c r="A127" s="149"/>
      <c r="B127" s="150"/>
      <c r="C127" s="151" t="s">
        <v>201</v>
      </c>
      <c r="D127" s="152" t="s">
        <v>8</v>
      </c>
      <c r="E127" s="279">
        <v>1.2</v>
      </c>
      <c r="F127" s="338">
        <v>1.68</v>
      </c>
      <c r="G127" s="339"/>
      <c r="H127" s="331">
        <v>1.68</v>
      </c>
      <c r="I127" s="321"/>
      <c r="J127" s="321"/>
      <c r="K127" s="321"/>
      <c r="L127" s="321"/>
      <c r="M127" s="321"/>
      <c r="N127" s="321"/>
      <c r="O127" s="321"/>
    </row>
    <row r="128" spans="1:15" s="137" customFormat="1" ht="19.5" customHeight="1">
      <c r="A128" s="149"/>
      <c r="B128" s="150"/>
      <c r="C128" s="151" t="s">
        <v>188</v>
      </c>
      <c r="D128" s="152" t="s">
        <v>8</v>
      </c>
      <c r="E128" s="284">
        <v>0.2</v>
      </c>
      <c r="F128" s="338">
        <v>0.28000000000000003</v>
      </c>
      <c r="G128" s="339"/>
      <c r="H128" s="331">
        <v>0.28000000000000003</v>
      </c>
      <c r="I128" s="321"/>
      <c r="J128" s="321"/>
      <c r="K128" s="321"/>
      <c r="L128" s="321"/>
      <c r="M128" s="321"/>
      <c r="N128" s="321"/>
      <c r="O128" s="321"/>
    </row>
    <row r="129" spans="1:15" s="137" customFormat="1" ht="69" customHeight="1">
      <c r="A129" s="145" t="s">
        <v>322</v>
      </c>
      <c r="B129" s="159"/>
      <c r="C129" s="160" t="s">
        <v>302</v>
      </c>
      <c r="D129" s="161" t="s">
        <v>7</v>
      </c>
      <c r="E129" s="281"/>
      <c r="F129" s="337">
        <v>2.27</v>
      </c>
      <c r="G129" s="336">
        <v>0.78</v>
      </c>
      <c r="H129" s="326">
        <v>3.05</v>
      </c>
      <c r="I129" s="321"/>
      <c r="J129" s="321"/>
      <c r="K129" s="321">
        <f>I129+J129</f>
        <v>0</v>
      </c>
      <c r="L129" s="321">
        <f>H129*I129</f>
        <v>0</v>
      </c>
      <c r="M129" s="321">
        <f>H129*J129</f>
        <v>0</v>
      </c>
      <c r="N129" s="321">
        <f>SUM(L129:M129)</f>
        <v>0</v>
      </c>
      <c r="O129" s="321"/>
    </row>
    <row r="130" spans="1:15" s="137" customFormat="1" ht="19.5" customHeight="1">
      <c r="A130" s="149"/>
      <c r="B130" s="150"/>
      <c r="C130" s="151" t="s">
        <v>164</v>
      </c>
      <c r="D130" s="152" t="s">
        <v>21</v>
      </c>
      <c r="E130" s="279">
        <v>0.15</v>
      </c>
      <c r="F130" s="338">
        <v>0.34</v>
      </c>
      <c r="G130" s="339">
        <v>0.12</v>
      </c>
      <c r="H130" s="331">
        <v>0.46</v>
      </c>
      <c r="I130" s="321"/>
      <c r="J130" s="321"/>
      <c r="K130" s="321"/>
      <c r="L130" s="321"/>
      <c r="M130" s="321"/>
      <c r="N130" s="321"/>
      <c r="O130" s="321"/>
    </row>
    <row r="131" spans="1:15" s="137" customFormat="1" ht="19.5" customHeight="1">
      <c r="A131" s="149"/>
      <c r="B131" s="150"/>
      <c r="C131" s="151" t="s">
        <v>166</v>
      </c>
      <c r="D131" s="152" t="s">
        <v>8</v>
      </c>
      <c r="E131" s="279">
        <v>8.4</v>
      </c>
      <c r="F131" s="338">
        <v>19.07</v>
      </c>
      <c r="G131" s="339">
        <v>6.55</v>
      </c>
      <c r="H131" s="331">
        <v>25.62</v>
      </c>
      <c r="I131" s="321"/>
      <c r="J131" s="321"/>
      <c r="K131" s="321"/>
      <c r="L131" s="321"/>
      <c r="M131" s="321"/>
      <c r="N131" s="321"/>
      <c r="O131" s="321"/>
    </row>
    <row r="132" spans="1:15" s="137" customFormat="1" ht="19.5" customHeight="1">
      <c r="A132" s="149"/>
      <c r="B132" s="150"/>
      <c r="C132" s="151" t="s">
        <v>201</v>
      </c>
      <c r="D132" s="152" t="s">
        <v>8</v>
      </c>
      <c r="E132" s="279">
        <v>1.2</v>
      </c>
      <c r="F132" s="338">
        <v>2.72</v>
      </c>
      <c r="G132" s="339">
        <v>0.94</v>
      </c>
      <c r="H132" s="331">
        <v>3.66</v>
      </c>
      <c r="I132" s="321"/>
      <c r="J132" s="321"/>
      <c r="K132" s="321"/>
      <c r="L132" s="321"/>
      <c r="M132" s="321"/>
      <c r="N132" s="321"/>
      <c r="O132" s="321"/>
    </row>
    <row r="133" spans="1:15" s="137" customFormat="1" ht="19.5" customHeight="1">
      <c r="A133" s="149"/>
      <c r="B133" s="150"/>
      <c r="C133" s="151" t="s">
        <v>202</v>
      </c>
      <c r="D133" s="162" t="s">
        <v>8</v>
      </c>
      <c r="E133" s="282">
        <v>2</v>
      </c>
      <c r="F133" s="338">
        <v>4.54</v>
      </c>
      <c r="G133" s="339">
        <v>1.56</v>
      </c>
      <c r="H133" s="331">
        <v>6.1</v>
      </c>
      <c r="I133" s="321"/>
      <c r="J133" s="321"/>
      <c r="K133" s="321"/>
      <c r="L133" s="321"/>
      <c r="M133" s="321"/>
      <c r="N133" s="321"/>
      <c r="O133" s="321"/>
    </row>
    <row r="134" spans="1:15" s="137" customFormat="1" ht="19.5" customHeight="1">
      <c r="A134" s="155" t="s">
        <v>197</v>
      </c>
      <c r="B134" s="156"/>
      <c r="C134" s="157" t="s">
        <v>26</v>
      </c>
      <c r="D134" s="158"/>
      <c r="E134" s="280"/>
      <c r="F134" s="334"/>
      <c r="G134" s="334"/>
      <c r="H134" s="334"/>
      <c r="I134" s="321"/>
      <c r="J134" s="321"/>
      <c r="K134" s="321"/>
      <c r="L134" s="321"/>
      <c r="M134" s="321"/>
      <c r="N134" s="321"/>
      <c r="O134" s="321"/>
    </row>
    <row r="135" spans="1:15" s="137" customFormat="1" ht="24" customHeight="1">
      <c r="A135" s="143" t="s">
        <v>198</v>
      </c>
      <c r="B135" s="144"/>
      <c r="C135" s="131" t="s">
        <v>25</v>
      </c>
      <c r="D135" s="132"/>
      <c r="E135" s="277"/>
      <c r="F135" s="324"/>
      <c r="G135" s="324"/>
      <c r="H135" s="324"/>
      <c r="I135" s="321"/>
      <c r="J135" s="321"/>
      <c r="K135" s="321"/>
      <c r="L135" s="321"/>
      <c r="M135" s="321"/>
      <c r="N135" s="321"/>
      <c r="O135" s="321"/>
    </row>
    <row r="136" spans="1:15" ht="24" customHeight="1">
      <c r="A136" s="145" t="s">
        <v>199</v>
      </c>
      <c r="B136" s="159"/>
      <c r="C136" s="147" t="s">
        <v>69</v>
      </c>
      <c r="D136" s="161" t="s">
        <v>7</v>
      </c>
      <c r="E136" s="281"/>
      <c r="F136" s="335">
        <v>23.02</v>
      </c>
      <c r="G136" s="336">
        <v>24.7</v>
      </c>
      <c r="H136" s="326">
        <v>47.72</v>
      </c>
      <c r="I136" s="321"/>
      <c r="J136" s="328"/>
      <c r="K136" s="342">
        <f>I136+J136</f>
        <v>0</v>
      </c>
      <c r="L136" s="342">
        <f>H136*I136</f>
        <v>0</v>
      </c>
      <c r="M136" s="342">
        <f>H136*J136</f>
        <v>0</v>
      </c>
      <c r="N136" s="328">
        <f>SUM(L136:M136)</f>
        <v>0</v>
      </c>
      <c r="O136" s="328"/>
    </row>
    <row r="137" spans="1:15" s="102" customFormat="1" ht="15.75" customHeight="1">
      <c r="A137" s="149"/>
      <c r="B137" s="150"/>
      <c r="C137" s="151" t="s">
        <v>203</v>
      </c>
      <c r="D137" s="152" t="s">
        <v>7</v>
      </c>
      <c r="E137" s="279">
        <v>1.1299999999999999</v>
      </c>
      <c r="F137" s="329">
        <v>26.01</v>
      </c>
      <c r="G137" s="330">
        <v>27.91</v>
      </c>
      <c r="H137" s="331">
        <v>53.92</v>
      </c>
      <c r="I137" s="321"/>
      <c r="J137" s="328"/>
      <c r="K137" s="328"/>
      <c r="L137" s="328"/>
      <c r="M137" s="328"/>
      <c r="N137" s="328"/>
      <c r="O137" s="328"/>
    </row>
    <row r="138" spans="1:15" s="102" customFormat="1" ht="15.75" customHeight="1">
      <c r="A138" s="149"/>
      <c r="B138" s="150"/>
      <c r="C138" s="151" t="s">
        <v>204</v>
      </c>
      <c r="D138" s="152" t="s">
        <v>18</v>
      </c>
      <c r="E138" s="282">
        <v>0.76</v>
      </c>
      <c r="F138" s="329">
        <v>17.5</v>
      </c>
      <c r="G138" s="330">
        <v>18.77</v>
      </c>
      <c r="H138" s="331">
        <v>36.270000000000003</v>
      </c>
      <c r="I138" s="321"/>
      <c r="J138" s="328"/>
      <c r="K138" s="328"/>
      <c r="L138" s="328"/>
      <c r="M138" s="328"/>
      <c r="N138" s="328"/>
      <c r="O138" s="328"/>
    </row>
    <row r="139" spans="1:15" s="102" customFormat="1" ht="15.75" customHeight="1">
      <c r="A139" s="149"/>
      <c r="B139" s="150"/>
      <c r="C139" s="151" t="s">
        <v>205</v>
      </c>
      <c r="D139" s="152" t="s">
        <v>18</v>
      </c>
      <c r="E139" s="282">
        <v>2</v>
      </c>
      <c r="F139" s="329">
        <v>46.04</v>
      </c>
      <c r="G139" s="330">
        <v>49.4</v>
      </c>
      <c r="H139" s="331">
        <v>95.44</v>
      </c>
      <c r="I139" s="321"/>
      <c r="J139" s="328"/>
      <c r="K139" s="328"/>
      <c r="L139" s="328"/>
      <c r="M139" s="328"/>
      <c r="N139" s="328"/>
      <c r="O139" s="328"/>
    </row>
    <row r="140" spans="1:15" s="102" customFormat="1" ht="15.75" customHeight="1">
      <c r="A140" s="149"/>
      <c r="B140" s="150"/>
      <c r="C140" s="165" t="s">
        <v>327</v>
      </c>
      <c r="D140" s="166" t="s">
        <v>20</v>
      </c>
      <c r="E140" s="285">
        <v>1</v>
      </c>
      <c r="F140" s="329">
        <v>12</v>
      </c>
      <c r="G140" s="330">
        <v>12</v>
      </c>
      <c r="H140" s="331">
        <v>24</v>
      </c>
      <c r="I140" s="321"/>
      <c r="J140" s="328"/>
      <c r="K140" s="328"/>
      <c r="L140" s="328"/>
      <c r="M140" s="328"/>
      <c r="N140" s="328"/>
      <c r="O140" s="328"/>
    </row>
    <row r="141" spans="1:15" s="102" customFormat="1" ht="15.75" customHeight="1">
      <c r="A141" s="149"/>
      <c r="B141" s="150"/>
      <c r="C141" s="165" t="s">
        <v>206</v>
      </c>
      <c r="D141" s="166" t="s">
        <v>20</v>
      </c>
      <c r="E141" s="285">
        <v>1</v>
      </c>
      <c r="F141" s="329">
        <v>12</v>
      </c>
      <c r="G141" s="330">
        <v>13</v>
      </c>
      <c r="H141" s="331">
        <v>25</v>
      </c>
      <c r="I141" s="321"/>
      <c r="J141" s="328"/>
      <c r="K141" s="328"/>
      <c r="L141" s="328"/>
      <c r="M141" s="328"/>
      <c r="N141" s="328"/>
      <c r="O141" s="328"/>
    </row>
    <row r="142" spans="1:15" s="102" customFormat="1" ht="45.75" customHeight="1">
      <c r="A142" s="145" t="s">
        <v>200</v>
      </c>
      <c r="B142" s="159"/>
      <c r="C142" s="160" t="s">
        <v>175</v>
      </c>
      <c r="D142" s="161" t="s">
        <v>7</v>
      </c>
      <c r="E142" s="281"/>
      <c r="F142" s="337">
        <v>169.44</v>
      </c>
      <c r="G142" s="336">
        <v>150.26</v>
      </c>
      <c r="H142" s="326">
        <v>319.7</v>
      </c>
      <c r="I142" s="328"/>
      <c r="J142" s="328"/>
      <c r="K142" s="328">
        <f>I142+J142</f>
        <v>0</v>
      </c>
      <c r="L142" s="328">
        <f>H142*I142</f>
        <v>0</v>
      </c>
      <c r="M142" s="328">
        <f>H142*J142</f>
        <v>0</v>
      </c>
      <c r="N142" s="328">
        <f>SUM(L142:M142)</f>
        <v>0</v>
      </c>
      <c r="O142" s="328"/>
    </row>
    <row r="143" spans="1:15" s="102" customFormat="1" ht="15.75" customHeight="1">
      <c r="A143" s="149"/>
      <c r="B143" s="150"/>
      <c r="C143" s="151" t="s">
        <v>164</v>
      </c>
      <c r="D143" s="152" t="s">
        <v>21</v>
      </c>
      <c r="E143" s="279">
        <v>0.15</v>
      </c>
      <c r="F143" s="329">
        <v>25.42</v>
      </c>
      <c r="G143" s="330">
        <v>22.54</v>
      </c>
      <c r="H143" s="331">
        <v>47.96</v>
      </c>
      <c r="I143" s="328"/>
      <c r="J143" s="328"/>
      <c r="K143" s="328"/>
      <c r="L143" s="328"/>
      <c r="M143" s="328"/>
      <c r="N143" s="328"/>
      <c r="O143" s="328"/>
    </row>
    <row r="144" spans="1:15" s="102" customFormat="1" ht="15.75" customHeight="1">
      <c r="A144" s="149"/>
      <c r="B144" s="150"/>
      <c r="C144" s="151" t="s">
        <v>176</v>
      </c>
      <c r="D144" s="152" t="s">
        <v>8</v>
      </c>
      <c r="E144" s="279">
        <v>17</v>
      </c>
      <c r="F144" s="329">
        <v>2880.48</v>
      </c>
      <c r="G144" s="330">
        <v>2554.42</v>
      </c>
      <c r="H144" s="331">
        <v>5434.9</v>
      </c>
      <c r="I144" s="328"/>
      <c r="J144" s="328"/>
      <c r="K144" s="328"/>
      <c r="L144" s="328"/>
      <c r="M144" s="328"/>
      <c r="N144" s="328"/>
      <c r="O144" s="328"/>
    </row>
    <row r="145" spans="1:15" s="102" customFormat="1" ht="50.25" customHeight="1">
      <c r="A145" s="145" t="s">
        <v>208</v>
      </c>
      <c r="B145" s="159"/>
      <c r="C145" s="160" t="s">
        <v>207</v>
      </c>
      <c r="D145" s="161" t="s">
        <v>7</v>
      </c>
      <c r="E145" s="281"/>
      <c r="F145" s="337">
        <v>84.67</v>
      </c>
      <c r="G145" s="336">
        <v>100.83</v>
      </c>
      <c r="H145" s="326">
        <v>185.5</v>
      </c>
      <c r="I145" s="328"/>
      <c r="J145" s="328"/>
      <c r="K145" s="328">
        <f>I145+J145</f>
        <v>0</v>
      </c>
      <c r="L145" s="328">
        <f>H145*I145</f>
        <v>0</v>
      </c>
      <c r="M145" s="328">
        <f>H145*J145</f>
        <v>0</v>
      </c>
      <c r="N145" s="328">
        <f>SUM(L145:M145)</f>
        <v>0</v>
      </c>
      <c r="O145" s="328"/>
    </row>
    <row r="146" spans="1:15" s="102" customFormat="1" ht="15.75" customHeight="1">
      <c r="A146" s="149"/>
      <c r="B146" s="150"/>
      <c r="C146" s="151" t="s">
        <v>164</v>
      </c>
      <c r="D146" s="152" t="s">
        <v>21</v>
      </c>
      <c r="E146" s="279">
        <v>0.15</v>
      </c>
      <c r="F146" s="329">
        <v>12.7</v>
      </c>
      <c r="G146" s="330">
        <v>15.12</v>
      </c>
      <c r="H146" s="331">
        <v>27.82</v>
      </c>
      <c r="I146" s="328"/>
      <c r="J146" s="328"/>
      <c r="K146" s="328"/>
      <c r="L146" s="328"/>
      <c r="M146" s="328"/>
      <c r="N146" s="328"/>
      <c r="O146" s="328"/>
    </row>
    <row r="147" spans="1:15" s="102" customFormat="1" ht="15.75" customHeight="1">
      <c r="A147" s="149"/>
      <c r="B147" s="150"/>
      <c r="C147" s="151" t="s">
        <v>176</v>
      </c>
      <c r="D147" s="152" t="s">
        <v>8</v>
      </c>
      <c r="E147" s="279">
        <v>17</v>
      </c>
      <c r="F147" s="329">
        <v>1439.39</v>
      </c>
      <c r="G147" s="330">
        <v>1714.11</v>
      </c>
      <c r="H147" s="331">
        <v>3153.5</v>
      </c>
      <c r="I147" s="328"/>
      <c r="J147" s="328"/>
      <c r="K147" s="328"/>
      <c r="L147" s="328"/>
      <c r="M147" s="328"/>
      <c r="N147" s="328"/>
      <c r="O147" s="328"/>
    </row>
    <row r="148" spans="1:15" ht="24" customHeight="1">
      <c r="A148" s="145" t="s">
        <v>213</v>
      </c>
      <c r="B148" s="159"/>
      <c r="C148" s="160" t="s">
        <v>178</v>
      </c>
      <c r="D148" s="161" t="s">
        <v>7</v>
      </c>
      <c r="E148" s="281"/>
      <c r="F148" s="337">
        <v>254.11</v>
      </c>
      <c r="G148" s="336">
        <v>251.09</v>
      </c>
      <c r="H148" s="326">
        <v>505.2</v>
      </c>
      <c r="I148" s="328"/>
      <c r="J148" s="328"/>
      <c r="K148" s="342">
        <f>I148+J148</f>
        <v>0</v>
      </c>
      <c r="L148" s="342">
        <f>H148*I148</f>
        <v>0</v>
      </c>
      <c r="M148" s="342">
        <f>H148*J148</f>
        <v>0</v>
      </c>
      <c r="N148" s="328">
        <f>SUM(L148:M148)</f>
        <v>0</v>
      </c>
      <c r="O148" s="328"/>
    </row>
    <row r="149" spans="1:15" s="102" customFormat="1" ht="15.75" customHeight="1">
      <c r="A149" s="149"/>
      <c r="B149" s="150"/>
      <c r="C149" s="151" t="s">
        <v>189</v>
      </c>
      <c r="D149" s="152" t="s">
        <v>7</v>
      </c>
      <c r="E149" s="279">
        <v>1.02</v>
      </c>
      <c r="F149" s="329">
        <v>259.19</v>
      </c>
      <c r="G149" s="330">
        <v>256.11</v>
      </c>
      <c r="H149" s="331">
        <v>515.29999999999995</v>
      </c>
      <c r="I149" s="328"/>
      <c r="J149" s="328"/>
      <c r="K149" s="328"/>
      <c r="L149" s="328"/>
      <c r="M149" s="328"/>
      <c r="N149" s="328"/>
      <c r="O149" s="328"/>
    </row>
    <row r="150" spans="1:15" s="102" customFormat="1" ht="15.75" customHeight="1">
      <c r="A150" s="149"/>
      <c r="B150" s="150"/>
      <c r="C150" s="151" t="s">
        <v>190</v>
      </c>
      <c r="D150" s="152" t="s">
        <v>8</v>
      </c>
      <c r="E150" s="279">
        <v>3.5</v>
      </c>
      <c r="F150" s="329">
        <v>889.39</v>
      </c>
      <c r="G150" s="330">
        <v>878.82</v>
      </c>
      <c r="H150" s="331">
        <v>1768.21</v>
      </c>
      <c r="I150" s="328"/>
      <c r="J150" s="328"/>
      <c r="K150" s="328"/>
      <c r="L150" s="328"/>
      <c r="M150" s="328"/>
      <c r="N150" s="328"/>
      <c r="O150" s="328"/>
    </row>
    <row r="151" spans="1:15" s="137" customFormat="1" ht="58.5" customHeight="1">
      <c r="A151" s="145" t="s">
        <v>214</v>
      </c>
      <c r="B151" s="159"/>
      <c r="C151" s="160" t="s">
        <v>360</v>
      </c>
      <c r="D151" s="161" t="s">
        <v>7</v>
      </c>
      <c r="E151" s="281"/>
      <c r="F151" s="337">
        <v>0.82</v>
      </c>
      <c r="G151" s="336">
        <v>0.82</v>
      </c>
      <c r="H151" s="326">
        <v>1.64</v>
      </c>
      <c r="I151" s="328"/>
      <c r="J151" s="328"/>
      <c r="K151" s="321">
        <f>I151+J151</f>
        <v>0</v>
      </c>
      <c r="L151" s="321">
        <f>H151*I151</f>
        <v>0</v>
      </c>
      <c r="M151" s="321">
        <f>H151*J151</f>
        <v>0</v>
      </c>
      <c r="N151" s="321">
        <f>SUM(L151:M151)</f>
        <v>0</v>
      </c>
      <c r="O151" s="321"/>
    </row>
    <row r="152" spans="1:15" s="137" customFormat="1" ht="19.5" customHeight="1">
      <c r="A152" s="149"/>
      <c r="B152" s="150"/>
      <c r="C152" s="151" t="s">
        <v>203</v>
      </c>
      <c r="D152" s="152" t="s">
        <v>7</v>
      </c>
      <c r="E152" s="279">
        <v>1.1299999999999999</v>
      </c>
      <c r="F152" s="338">
        <v>0.93</v>
      </c>
      <c r="G152" s="339">
        <v>0.93</v>
      </c>
      <c r="H152" s="331">
        <v>1.86</v>
      </c>
      <c r="I152" s="328"/>
      <c r="J152" s="328"/>
      <c r="K152" s="321"/>
      <c r="L152" s="321"/>
      <c r="M152" s="321"/>
      <c r="N152" s="321"/>
      <c r="O152" s="321"/>
    </row>
    <row r="153" spans="1:15" s="137" customFormat="1" ht="19.5" customHeight="1">
      <c r="A153" s="149"/>
      <c r="B153" s="150"/>
      <c r="C153" s="151" t="s">
        <v>358</v>
      </c>
      <c r="D153" s="152" t="s">
        <v>8</v>
      </c>
      <c r="E153" s="279">
        <v>1</v>
      </c>
      <c r="F153" s="338">
        <v>0.82</v>
      </c>
      <c r="G153" s="339">
        <v>0.82</v>
      </c>
      <c r="H153" s="331">
        <v>1.64</v>
      </c>
      <c r="I153" s="328"/>
      <c r="J153" s="328"/>
      <c r="K153" s="321"/>
      <c r="L153" s="321"/>
      <c r="M153" s="321"/>
      <c r="N153" s="321"/>
      <c r="O153" s="321"/>
    </row>
    <row r="154" spans="1:15" s="137" customFormat="1" ht="19.5" customHeight="1">
      <c r="A154" s="149"/>
      <c r="B154" s="150"/>
      <c r="C154" s="163" t="s">
        <v>359</v>
      </c>
      <c r="D154" s="164" t="s">
        <v>22</v>
      </c>
      <c r="E154" s="283">
        <v>0.05</v>
      </c>
      <c r="F154" s="338">
        <v>0.04</v>
      </c>
      <c r="G154" s="339">
        <v>0.04</v>
      </c>
      <c r="H154" s="331">
        <v>0.08</v>
      </c>
      <c r="I154" s="328"/>
      <c r="J154" s="328"/>
      <c r="K154" s="321"/>
      <c r="L154" s="321"/>
      <c r="M154" s="321"/>
      <c r="N154" s="321"/>
      <c r="O154" s="321"/>
    </row>
    <row r="155" spans="1:15" s="137" customFormat="1" ht="19.5" customHeight="1">
      <c r="A155" s="149"/>
      <c r="B155" s="150"/>
      <c r="C155" s="151" t="s">
        <v>201</v>
      </c>
      <c r="D155" s="152" t="s">
        <v>8</v>
      </c>
      <c r="E155" s="279">
        <v>1.2</v>
      </c>
      <c r="F155" s="338">
        <v>0.98</v>
      </c>
      <c r="G155" s="339">
        <v>0.98</v>
      </c>
      <c r="H155" s="331">
        <v>1.96</v>
      </c>
      <c r="I155" s="328"/>
      <c r="J155" s="328"/>
      <c r="K155" s="321"/>
      <c r="L155" s="321"/>
      <c r="M155" s="321"/>
      <c r="N155" s="321"/>
      <c r="O155" s="321"/>
    </row>
    <row r="156" spans="1:15" s="137" customFormat="1" ht="19.5" customHeight="1">
      <c r="A156" s="149"/>
      <c r="B156" s="150"/>
      <c r="C156" s="151" t="s">
        <v>188</v>
      </c>
      <c r="D156" s="152" t="s">
        <v>8</v>
      </c>
      <c r="E156" s="284">
        <v>0.2</v>
      </c>
      <c r="F156" s="338">
        <v>0.16</v>
      </c>
      <c r="G156" s="339">
        <v>0.16</v>
      </c>
      <c r="H156" s="331">
        <v>0.32</v>
      </c>
      <c r="I156" s="328"/>
      <c r="J156" s="328"/>
      <c r="K156" s="321"/>
      <c r="L156" s="321"/>
      <c r="M156" s="321"/>
      <c r="N156" s="321"/>
      <c r="O156" s="321"/>
    </row>
    <row r="157" spans="1:15" s="102" customFormat="1" ht="27.75" customHeight="1">
      <c r="A157" s="143" t="s">
        <v>215</v>
      </c>
      <c r="B157" s="144"/>
      <c r="C157" s="131" t="s">
        <v>219</v>
      </c>
      <c r="D157" s="132"/>
      <c r="E157" s="277"/>
      <c r="F157" s="324"/>
      <c r="G157" s="324"/>
      <c r="H157" s="324"/>
      <c r="I157" s="328"/>
      <c r="J157" s="328"/>
      <c r="K157" s="328"/>
      <c r="L157" s="328"/>
      <c r="M157" s="328"/>
      <c r="N157" s="328"/>
      <c r="O157" s="328"/>
    </row>
    <row r="158" spans="1:15" s="102" customFormat="1" ht="45.75" customHeight="1">
      <c r="A158" s="145" t="s">
        <v>216</v>
      </c>
      <c r="B158" s="159"/>
      <c r="C158" s="160" t="s">
        <v>163</v>
      </c>
      <c r="D158" s="161" t="s">
        <v>7</v>
      </c>
      <c r="E158" s="281"/>
      <c r="F158" s="335">
        <v>117.53</v>
      </c>
      <c r="G158" s="336">
        <v>136.85</v>
      </c>
      <c r="H158" s="326">
        <v>254.38</v>
      </c>
      <c r="I158" s="328"/>
      <c r="J158" s="328"/>
      <c r="K158" s="328">
        <f>I158+J158</f>
        <v>0</v>
      </c>
      <c r="L158" s="328">
        <f>H158*I158</f>
        <v>0</v>
      </c>
      <c r="M158" s="328">
        <f>H158*J158</f>
        <v>0</v>
      </c>
      <c r="N158" s="328">
        <f>SUM(L158:M158)</f>
        <v>0</v>
      </c>
      <c r="O158" s="328"/>
    </row>
    <row r="159" spans="1:15" s="102" customFormat="1" ht="15.75" customHeight="1">
      <c r="A159" s="149"/>
      <c r="B159" s="150"/>
      <c r="C159" s="151" t="s">
        <v>164</v>
      </c>
      <c r="D159" s="152" t="s">
        <v>21</v>
      </c>
      <c r="E159" s="279">
        <v>0.15</v>
      </c>
      <c r="F159" s="329">
        <v>17.63</v>
      </c>
      <c r="G159" s="330">
        <v>20.53</v>
      </c>
      <c r="H159" s="331">
        <v>38.159999999999997</v>
      </c>
      <c r="I159" s="328"/>
      <c r="J159" s="328"/>
      <c r="K159" s="328"/>
      <c r="L159" s="328"/>
      <c r="M159" s="328"/>
      <c r="N159" s="328"/>
      <c r="O159" s="328"/>
    </row>
    <row r="160" spans="1:15" s="102" customFormat="1" ht="15.75" customHeight="1">
      <c r="A160" s="149"/>
      <c r="B160" s="150"/>
      <c r="C160" s="151" t="s">
        <v>166</v>
      </c>
      <c r="D160" s="152" t="s">
        <v>8</v>
      </c>
      <c r="E160" s="279">
        <v>8.4</v>
      </c>
      <c r="F160" s="329">
        <v>987.25</v>
      </c>
      <c r="G160" s="330">
        <v>1149.54</v>
      </c>
      <c r="H160" s="331">
        <v>2136.79</v>
      </c>
      <c r="I160" s="328"/>
      <c r="J160" s="328"/>
      <c r="K160" s="328"/>
      <c r="L160" s="328"/>
      <c r="M160" s="328"/>
      <c r="N160" s="328"/>
      <c r="O160" s="328"/>
    </row>
    <row r="161" spans="1:15" s="102" customFormat="1" ht="25.5" customHeight="1">
      <c r="A161" s="145" t="s">
        <v>217</v>
      </c>
      <c r="B161" s="159"/>
      <c r="C161" s="160" t="s">
        <v>220</v>
      </c>
      <c r="D161" s="161"/>
      <c r="E161" s="281"/>
      <c r="F161" s="337">
        <v>421.69</v>
      </c>
      <c r="G161" s="336">
        <v>455.59</v>
      </c>
      <c r="H161" s="326">
        <v>877.28</v>
      </c>
      <c r="I161" s="328"/>
      <c r="J161" s="328"/>
      <c r="K161" s="328">
        <f>I161+J161</f>
        <v>0</v>
      </c>
      <c r="L161" s="328">
        <f>H161*I161</f>
        <v>0</v>
      </c>
      <c r="M161" s="328">
        <f>H161*J161</f>
        <v>0</v>
      </c>
      <c r="N161" s="328">
        <f>SUM(L161:M161)</f>
        <v>0</v>
      </c>
      <c r="O161" s="328"/>
    </row>
    <row r="162" spans="1:15" s="102" customFormat="1" ht="20.25" customHeight="1">
      <c r="A162" s="149"/>
      <c r="B162" s="150"/>
      <c r="C162" s="151" t="s">
        <v>166</v>
      </c>
      <c r="D162" s="152" t="s">
        <v>8</v>
      </c>
      <c r="E162" s="279">
        <v>5.25</v>
      </c>
      <c r="F162" s="329">
        <v>2213.87</v>
      </c>
      <c r="G162" s="330">
        <v>2391.85</v>
      </c>
      <c r="H162" s="331">
        <v>4605.72</v>
      </c>
      <c r="I162" s="328"/>
      <c r="J162" s="328"/>
      <c r="K162" s="328"/>
      <c r="L162" s="328"/>
      <c r="M162" s="328"/>
      <c r="N162" s="328"/>
      <c r="O162" s="328"/>
    </row>
    <row r="163" spans="1:15" s="102" customFormat="1" ht="31.5" customHeight="1">
      <c r="A163" s="145" t="s">
        <v>218</v>
      </c>
      <c r="B163" s="159"/>
      <c r="C163" s="160" t="s">
        <v>328</v>
      </c>
      <c r="D163" s="161"/>
      <c r="E163" s="281"/>
      <c r="F163" s="337">
        <v>547.96</v>
      </c>
      <c r="G163" s="336">
        <v>521.14</v>
      </c>
      <c r="H163" s="326">
        <v>1069.0999999999999</v>
      </c>
      <c r="I163" s="341"/>
      <c r="J163" s="328"/>
      <c r="K163" s="328">
        <f>I163+J163</f>
        <v>0</v>
      </c>
      <c r="L163" s="328">
        <f>H163*I163</f>
        <v>0</v>
      </c>
      <c r="M163" s="328">
        <f>H163*J163</f>
        <v>0</v>
      </c>
      <c r="N163" s="328">
        <f>SUM(L163:M163)</f>
        <v>0</v>
      </c>
      <c r="O163" s="328"/>
    </row>
    <row r="164" spans="1:15" s="102" customFormat="1" ht="20.25" customHeight="1">
      <c r="A164" s="149"/>
      <c r="B164" s="150"/>
      <c r="C164" s="151" t="s">
        <v>166</v>
      </c>
      <c r="D164" s="152" t="s">
        <v>8</v>
      </c>
      <c r="E164" s="279">
        <v>2.1</v>
      </c>
      <c r="F164" s="329">
        <v>1150.72</v>
      </c>
      <c r="G164" s="330">
        <v>1094.3900000000001</v>
      </c>
      <c r="H164" s="331">
        <v>2245.11</v>
      </c>
      <c r="I164" s="341"/>
      <c r="J164" s="328"/>
      <c r="K164" s="328"/>
      <c r="L164" s="328"/>
      <c r="M164" s="328"/>
      <c r="N164" s="328"/>
      <c r="O164" s="328"/>
    </row>
    <row r="165" spans="1:15" s="102" customFormat="1" ht="20.25" customHeight="1">
      <c r="A165" s="145" t="s">
        <v>221</v>
      </c>
      <c r="B165" s="146"/>
      <c r="C165" s="160" t="s">
        <v>223</v>
      </c>
      <c r="D165" s="161" t="s">
        <v>7</v>
      </c>
      <c r="E165" s="286"/>
      <c r="F165" s="337">
        <v>1087.18</v>
      </c>
      <c r="G165" s="336">
        <v>1113.58</v>
      </c>
      <c r="H165" s="326">
        <v>2200.7600000000002</v>
      </c>
      <c r="I165" s="328"/>
      <c r="J165" s="328"/>
      <c r="K165" s="328">
        <f>I165+J165</f>
        <v>0</v>
      </c>
      <c r="L165" s="328">
        <f>H165*I165</f>
        <v>0</v>
      </c>
      <c r="M165" s="328">
        <f>H165*J165</f>
        <v>0</v>
      </c>
      <c r="N165" s="328">
        <f>SUM(L165:M165)</f>
        <v>0</v>
      </c>
      <c r="O165" s="328"/>
    </row>
    <row r="166" spans="1:15" s="102" customFormat="1" ht="20.25" customHeight="1">
      <c r="A166" s="167"/>
      <c r="B166" s="150"/>
      <c r="C166" s="151" t="s">
        <v>164</v>
      </c>
      <c r="D166" s="152" t="s">
        <v>21</v>
      </c>
      <c r="E166" s="279">
        <v>0.15</v>
      </c>
      <c r="F166" s="329">
        <v>163.08000000000001</v>
      </c>
      <c r="G166" s="330">
        <v>167.04</v>
      </c>
      <c r="H166" s="331">
        <v>330.12</v>
      </c>
      <c r="I166" s="328"/>
      <c r="J166" s="328"/>
      <c r="K166" s="328"/>
      <c r="L166" s="328"/>
      <c r="M166" s="328"/>
      <c r="N166" s="328"/>
      <c r="O166" s="328"/>
    </row>
    <row r="167" spans="1:15" s="102" customFormat="1" ht="20.25" customHeight="1">
      <c r="A167" s="167"/>
      <c r="B167" s="150"/>
      <c r="C167" s="151" t="s">
        <v>201</v>
      </c>
      <c r="D167" s="152" t="s">
        <v>8</v>
      </c>
      <c r="E167" s="279">
        <v>1.2</v>
      </c>
      <c r="F167" s="329">
        <v>1304.6199999999999</v>
      </c>
      <c r="G167" s="330">
        <v>1336.3</v>
      </c>
      <c r="H167" s="331">
        <v>2640.92</v>
      </c>
      <c r="I167" s="328"/>
      <c r="J167" s="328"/>
      <c r="K167" s="328"/>
      <c r="L167" s="328"/>
      <c r="M167" s="328"/>
      <c r="N167" s="328"/>
      <c r="O167" s="328"/>
    </row>
    <row r="168" spans="1:15" s="102" customFormat="1" ht="20.25" customHeight="1">
      <c r="A168" s="145" t="s">
        <v>222</v>
      </c>
      <c r="B168" s="146"/>
      <c r="C168" s="160" t="s">
        <v>27</v>
      </c>
      <c r="D168" s="161" t="s">
        <v>7</v>
      </c>
      <c r="E168" s="286"/>
      <c r="F168" s="337">
        <v>1087.18</v>
      </c>
      <c r="G168" s="336">
        <v>1113.58</v>
      </c>
      <c r="H168" s="326">
        <v>2200.7600000000002</v>
      </c>
      <c r="I168" s="328"/>
      <c r="J168" s="328"/>
      <c r="K168" s="328">
        <f>I168+J168</f>
        <v>0</v>
      </c>
      <c r="L168" s="328">
        <f>H168*I168</f>
        <v>0</v>
      </c>
      <c r="M168" s="328">
        <f>H168*J168</f>
        <v>0</v>
      </c>
      <c r="N168" s="328">
        <f>SUM(L168:M168)</f>
        <v>0</v>
      </c>
      <c r="O168" s="328"/>
    </row>
    <row r="169" spans="1:15" s="102" customFormat="1" ht="20.25" customHeight="1">
      <c r="A169" s="149"/>
      <c r="B169" s="150"/>
      <c r="C169" s="151" t="s">
        <v>225</v>
      </c>
      <c r="D169" s="152" t="s">
        <v>7</v>
      </c>
      <c r="E169" s="279">
        <v>1.02</v>
      </c>
      <c r="F169" s="329">
        <v>1108.92</v>
      </c>
      <c r="G169" s="330">
        <v>1135.8499999999999</v>
      </c>
      <c r="H169" s="331">
        <v>2244.77</v>
      </c>
      <c r="I169" s="328"/>
      <c r="J169" s="328"/>
      <c r="K169" s="328"/>
      <c r="L169" s="328"/>
      <c r="M169" s="328"/>
      <c r="N169" s="328"/>
      <c r="O169" s="328"/>
    </row>
    <row r="170" spans="1:15" s="102" customFormat="1" ht="20.25" customHeight="1">
      <c r="A170" s="145" t="s">
        <v>224</v>
      </c>
      <c r="B170" s="146"/>
      <c r="C170" s="160" t="s">
        <v>227</v>
      </c>
      <c r="D170" s="161" t="s">
        <v>7</v>
      </c>
      <c r="E170" s="286"/>
      <c r="F170" s="337">
        <v>1087.18</v>
      </c>
      <c r="G170" s="336">
        <v>1113.58</v>
      </c>
      <c r="H170" s="326">
        <v>2200.7600000000002</v>
      </c>
      <c r="I170" s="328"/>
      <c r="J170" s="328"/>
      <c r="K170" s="328"/>
      <c r="L170" s="328"/>
      <c r="M170" s="328"/>
      <c r="N170" s="328"/>
      <c r="O170" s="328"/>
    </row>
    <row r="171" spans="1:15" s="102" customFormat="1" ht="20.25" customHeight="1">
      <c r="A171" s="149"/>
      <c r="B171" s="150"/>
      <c r="C171" s="151" t="s">
        <v>229</v>
      </c>
      <c r="D171" s="152" t="s">
        <v>7</v>
      </c>
      <c r="E171" s="284">
        <v>0.2</v>
      </c>
      <c r="F171" s="329">
        <v>217.44</v>
      </c>
      <c r="G171" s="330">
        <v>222.72</v>
      </c>
      <c r="H171" s="331">
        <v>440.16</v>
      </c>
      <c r="I171" s="328"/>
      <c r="J171" s="328"/>
      <c r="K171" s="328"/>
      <c r="L171" s="328"/>
      <c r="M171" s="328"/>
      <c r="N171" s="328"/>
      <c r="O171" s="328"/>
    </row>
    <row r="172" spans="1:15" s="102" customFormat="1" ht="60.75" customHeight="1">
      <c r="A172" s="145" t="s">
        <v>226</v>
      </c>
      <c r="B172" s="159"/>
      <c r="C172" s="160" t="s">
        <v>360</v>
      </c>
      <c r="D172" s="161" t="s">
        <v>7</v>
      </c>
      <c r="E172" s="281"/>
      <c r="F172" s="337">
        <v>39.520000000000003</v>
      </c>
      <c r="G172" s="336">
        <v>37.020000000000003</v>
      </c>
      <c r="H172" s="326">
        <v>76.540000000000006</v>
      </c>
      <c r="I172" s="328"/>
      <c r="J172" s="328"/>
      <c r="K172" s="328">
        <f>I172+J172</f>
        <v>0</v>
      </c>
      <c r="L172" s="328">
        <f>H172*I172</f>
        <v>0</v>
      </c>
      <c r="M172" s="328">
        <f>H172*J172</f>
        <v>0</v>
      </c>
      <c r="N172" s="328">
        <f>SUM(L172:M172)</f>
        <v>0</v>
      </c>
      <c r="O172" s="328"/>
    </row>
    <row r="173" spans="1:15" s="102" customFormat="1" ht="20.25" customHeight="1">
      <c r="A173" s="149"/>
      <c r="B173" s="150"/>
      <c r="C173" s="151" t="s">
        <v>203</v>
      </c>
      <c r="D173" s="152" t="s">
        <v>7</v>
      </c>
      <c r="E173" s="279">
        <v>1.1299999999999999</v>
      </c>
      <c r="F173" s="329">
        <v>44.66</v>
      </c>
      <c r="G173" s="330">
        <v>41.83</v>
      </c>
      <c r="H173" s="331">
        <v>86.49</v>
      </c>
      <c r="I173" s="328"/>
      <c r="J173" s="328"/>
      <c r="K173" s="328"/>
      <c r="L173" s="328"/>
      <c r="M173" s="328"/>
      <c r="N173" s="328"/>
      <c r="O173" s="328"/>
    </row>
    <row r="174" spans="1:15" s="102" customFormat="1" ht="20.25" customHeight="1">
      <c r="A174" s="149"/>
      <c r="B174" s="150"/>
      <c r="C174" s="151" t="s">
        <v>358</v>
      </c>
      <c r="D174" s="152" t="s">
        <v>8</v>
      </c>
      <c r="E174" s="279">
        <v>1</v>
      </c>
      <c r="F174" s="329">
        <v>39.520000000000003</v>
      </c>
      <c r="G174" s="330">
        <v>37.020000000000003</v>
      </c>
      <c r="H174" s="331">
        <v>76.540000000000006</v>
      </c>
      <c r="I174" s="328"/>
      <c r="J174" s="328"/>
      <c r="K174" s="328"/>
      <c r="L174" s="328"/>
      <c r="M174" s="328"/>
      <c r="N174" s="328"/>
      <c r="O174" s="328"/>
    </row>
    <row r="175" spans="1:15" s="102" customFormat="1" ht="20.25" customHeight="1">
      <c r="A175" s="149"/>
      <c r="B175" s="150"/>
      <c r="C175" s="163" t="s">
        <v>359</v>
      </c>
      <c r="D175" s="164" t="s">
        <v>22</v>
      </c>
      <c r="E175" s="283">
        <v>0.05</v>
      </c>
      <c r="F175" s="329">
        <v>2.02</v>
      </c>
      <c r="G175" s="330">
        <v>1.89</v>
      </c>
      <c r="H175" s="331">
        <v>3.91</v>
      </c>
      <c r="I175" s="328"/>
      <c r="J175" s="328"/>
      <c r="K175" s="328"/>
      <c r="L175" s="328"/>
      <c r="M175" s="328"/>
      <c r="N175" s="328"/>
      <c r="O175" s="328"/>
    </row>
    <row r="176" spans="1:15" s="102" customFormat="1" ht="20.25" customHeight="1">
      <c r="A176" s="149"/>
      <c r="B176" s="150"/>
      <c r="C176" s="151" t="s">
        <v>201</v>
      </c>
      <c r="D176" s="152" t="s">
        <v>8</v>
      </c>
      <c r="E176" s="279">
        <v>1.2</v>
      </c>
      <c r="F176" s="329">
        <v>47.42</v>
      </c>
      <c r="G176" s="330">
        <v>44.42</v>
      </c>
      <c r="H176" s="331">
        <v>91.84</v>
      </c>
      <c r="I176" s="328"/>
      <c r="J176" s="328"/>
      <c r="K176" s="328"/>
      <c r="L176" s="328"/>
      <c r="M176" s="328"/>
      <c r="N176" s="328"/>
      <c r="O176" s="328"/>
    </row>
    <row r="177" spans="1:15" s="102" customFormat="1" ht="20.25" customHeight="1">
      <c r="A177" s="149"/>
      <c r="B177" s="150"/>
      <c r="C177" s="151" t="s">
        <v>188</v>
      </c>
      <c r="D177" s="152" t="s">
        <v>8</v>
      </c>
      <c r="E177" s="284">
        <v>0.2</v>
      </c>
      <c r="F177" s="329">
        <v>7.9</v>
      </c>
      <c r="G177" s="330">
        <v>7.4</v>
      </c>
      <c r="H177" s="331">
        <v>15.3</v>
      </c>
      <c r="I177" s="328"/>
      <c r="J177" s="328"/>
      <c r="K177" s="328"/>
      <c r="L177" s="328"/>
      <c r="M177" s="328"/>
      <c r="N177" s="328"/>
      <c r="O177" s="328"/>
    </row>
    <row r="178" spans="1:15" s="102" customFormat="1" ht="64.5" customHeight="1">
      <c r="A178" s="145" t="s">
        <v>228</v>
      </c>
      <c r="B178" s="159"/>
      <c r="C178" s="160" t="s">
        <v>329</v>
      </c>
      <c r="D178" s="161" t="s">
        <v>7</v>
      </c>
      <c r="E178" s="281"/>
      <c r="F178" s="337">
        <v>4.66</v>
      </c>
      <c r="G178" s="336">
        <v>5.0199999999999996</v>
      </c>
      <c r="H178" s="326">
        <v>9.68</v>
      </c>
      <c r="I178" s="328"/>
      <c r="J178" s="328"/>
      <c r="K178" s="328">
        <f>I178+J178</f>
        <v>0</v>
      </c>
      <c r="L178" s="328">
        <f>H178*I178</f>
        <v>0</v>
      </c>
      <c r="M178" s="328">
        <f>H178*J178</f>
        <v>0</v>
      </c>
      <c r="N178" s="328">
        <f>SUM(L178:M178)</f>
        <v>0</v>
      </c>
      <c r="O178" s="328"/>
    </row>
    <row r="179" spans="1:15" s="102" customFormat="1" ht="20.25" customHeight="1">
      <c r="A179" s="149"/>
      <c r="B179" s="150"/>
      <c r="C179" s="151" t="s">
        <v>164</v>
      </c>
      <c r="D179" s="152" t="s">
        <v>21</v>
      </c>
      <c r="E179" s="279">
        <v>0.15</v>
      </c>
      <c r="F179" s="329">
        <v>0.7</v>
      </c>
      <c r="G179" s="330">
        <v>0.75</v>
      </c>
      <c r="H179" s="331">
        <v>1.45</v>
      </c>
      <c r="I179" s="328"/>
      <c r="J179" s="328"/>
      <c r="K179" s="328"/>
      <c r="L179" s="328"/>
      <c r="M179" s="328"/>
      <c r="N179" s="328"/>
      <c r="O179" s="328"/>
    </row>
    <row r="180" spans="1:15" s="102" customFormat="1" ht="20.25" customHeight="1">
      <c r="A180" s="149"/>
      <c r="B180" s="150"/>
      <c r="C180" s="151" t="s">
        <v>166</v>
      </c>
      <c r="D180" s="152" t="s">
        <v>8</v>
      </c>
      <c r="E180" s="279">
        <v>8.4</v>
      </c>
      <c r="F180" s="329">
        <v>39.14</v>
      </c>
      <c r="G180" s="330">
        <v>42.17</v>
      </c>
      <c r="H180" s="331">
        <v>81.31</v>
      </c>
      <c r="I180" s="328"/>
      <c r="J180" s="328"/>
      <c r="K180" s="328"/>
      <c r="L180" s="328"/>
      <c r="M180" s="328"/>
      <c r="N180" s="328"/>
      <c r="O180" s="328"/>
    </row>
    <row r="181" spans="1:15" s="102" customFormat="1" ht="20.25" customHeight="1">
      <c r="A181" s="149"/>
      <c r="B181" s="150"/>
      <c r="C181" s="151" t="s">
        <v>201</v>
      </c>
      <c r="D181" s="152" t="s">
        <v>8</v>
      </c>
      <c r="E181" s="279">
        <v>1.2</v>
      </c>
      <c r="F181" s="329">
        <v>5.59</v>
      </c>
      <c r="G181" s="330">
        <v>6.02</v>
      </c>
      <c r="H181" s="331">
        <v>11.61</v>
      </c>
      <c r="I181" s="328"/>
      <c r="J181" s="328"/>
      <c r="K181" s="328"/>
      <c r="L181" s="328"/>
      <c r="M181" s="328"/>
      <c r="N181" s="328"/>
      <c r="O181" s="328"/>
    </row>
    <row r="182" spans="1:15" s="102" customFormat="1" ht="20.25" customHeight="1">
      <c r="A182" s="149"/>
      <c r="B182" s="150"/>
      <c r="C182" s="151" t="s">
        <v>225</v>
      </c>
      <c r="D182" s="152" t="s">
        <v>7</v>
      </c>
      <c r="E182" s="279">
        <v>1.02</v>
      </c>
      <c r="F182" s="329">
        <v>4.75</v>
      </c>
      <c r="G182" s="330">
        <v>5.12</v>
      </c>
      <c r="H182" s="331">
        <v>9.8699999999999992</v>
      </c>
      <c r="I182" s="328"/>
      <c r="J182" s="328"/>
      <c r="K182" s="328"/>
      <c r="L182" s="328"/>
      <c r="M182" s="328"/>
      <c r="N182" s="328"/>
      <c r="O182" s="328"/>
    </row>
    <row r="183" spans="1:15" s="102" customFormat="1" ht="20.25" customHeight="1">
      <c r="A183" s="149"/>
      <c r="B183" s="150"/>
      <c r="C183" s="151" t="s">
        <v>229</v>
      </c>
      <c r="D183" s="152" t="s">
        <v>8</v>
      </c>
      <c r="E183" s="284">
        <v>0.2</v>
      </c>
      <c r="F183" s="329">
        <v>0.93</v>
      </c>
      <c r="G183" s="330">
        <v>1</v>
      </c>
      <c r="H183" s="331">
        <v>1.93</v>
      </c>
      <c r="I183" s="328"/>
      <c r="J183" s="328"/>
      <c r="K183" s="328"/>
      <c r="L183" s="328"/>
      <c r="M183" s="328"/>
      <c r="N183" s="328"/>
      <c r="O183" s="328"/>
    </row>
    <row r="184" spans="1:15" s="102" customFormat="1" ht="20.25" customHeight="1">
      <c r="A184" s="155" t="s">
        <v>287</v>
      </c>
      <c r="B184" s="156"/>
      <c r="C184" s="157" t="s">
        <v>288</v>
      </c>
      <c r="D184" s="158"/>
      <c r="E184" s="280"/>
      <c r="F184" s="334"/>
      <c r="G184" s="334"/>
      <c r="H184" s="334"/>
      <c r="I184" s="328"/>
      <c r="J184" s="328"/>
      <c r="K184" s="328"/>
      <c r="L184" s="328"/>
      <c r="M184" s="328"/>
      <c r="N184" s="328"/>
      <c r="O184" s="328"/>
    </row>
    <row r="185" spans="1:15" s="102" customFormat="1" ht="21.75" customHeight="1">
      <c r="A185" s="145" t="s">
        <v>289</v>
      </c>
      <c r="B185" s="159"/>
      <c r="C185" s="160" t="s">
        <v>338</v>
      </c>
      <c r="D185" s="161" t="s">
        <v>18</v>
      </c>
      <c r="E185" s="281"/>
      <c r="F185" s="335">
        <v>197.5</v>
      </c>
      <c r="G185" s="336">
        <v>197.5</v>
      </c>
      <c r="H185" s="326">
        <v>395</v>
      </c>
      <c r="I185" s="328"/>
      <c r="J185" s="328"/>
      <c r="K185" s="328">
        <f>I185+J185</f>
        <v>0</v>
      </c>
      <c r="L185" s="328">
        <f>H185*I185</f>
        <v>0</v>
      </c>
      <c r="M185" s="328">
        <f>H185*J185</f>
        <v>0</v>
      </c>
      <c r="N185" s="328">
        <f>SUM(L185:M185)</f>
        <v>0</v>
      </c>
      <c r="O185" s="328"/>
    </row>
    <row r="186" spans="1:15" s="102" customFormat="1" ht="20.25" customHeight="1">
      <c r="A186" s="149"/>
      <c r="B186" s="150"/>
      <c r="C186" s="151" t="s">
        <v>176</v>
      </c>
      <c r="D186" s="152" t="s">
        <v>8</v>
      </c>
      <c r="E186" s="279">
        <v>2</v>
      </c>
      <c r="F186" s="329">
        <v>395</v>
      </c>
      <c r="G186" s="330">
        <v>395</v>
      </c>
      <c r="H186" s="331">
        <v>790</v>
      </c>
      <c r="I186" s="328"/>
      <c r="J186" s="328"/>
      <c r="K186" s="328"/>
      <c r="L186" s="328"/>
      <c r="M186" s="328"/>
      <c r="N186" s="328"/>
      <c r="O186" s="328"/>
    </row>
    <row r="187" spans="1:15" s="102" customFormat="1" ht="20.25" customHeight="1">
      <c r="A187" s="145" t="s">
        <v>290</v>
      </c>
      <c r="B187" s="159"/>
      <c r="C187" s="160" t="s">
        <v>291</v>
      </c>
      <c r="D187" s="161" t="s">
        <v>292</v>
      </c>
      <c r="E187" s="281"/>
      <c r="F187" s="337">
        <v>117.5</v>
      </c>
      <c r="G187" s="336">
        <v>117.5</v>
      </c>
      <c r="H187" s="326">
        <v>235</v>
      </c>
      <c r="I187" s="328"/>
      <c r="J187" s="328"/>
      <c r="K187" s="328">
        <f>I187+J187</f>
        <v>0</v>
      </c>
      <c r="L187" s="328">
        <f>H187*I187</f>
        <v>0</v>
      </c>
      <c r="M187" s="328">
        <f>H187*J187</f>
        <v>0</v>
      </c>
      <c r="N187" s="328">
        <f>SUM(L187:M187)</f>
        <v>0</v>
      </c>
      <c r="O187" s="328"/>
    </row>
    <row r="188" spans="1:15" s="102" customFormat="1" ht="20.25" customHeight="1">
      <c r="A188" s="149"/>
      <c r="B188" s="150"/>
      <c r="C188" s="151" t="s">
        <v>176</v>
      </c>
      <c r="D188" s="152" t="s">
        <v>8</v>
      </c>
      <c r="E188" s="279">
        <v>1.5</v>
      </c>
      <c r="F188" s="329">
        <v>176.25</v>
      </c>
      <c r="G188" s="330">
        <v>176.25</v>
      </c>
      <c r="H188" s="331">
        <v>352.5</v>
      </c>
      <c r="I188" s="328"/>
      <c r="J188" s="328"/>
      <c r="K188" s="328"/>
      <c r="L188" s="328"/>
      <c r="M188" s="328"/>
      <c r="N188" s="328"/>
      <c r="O188" s="328"/>
    </row>
    <row r="189" spans="1:15" s="137" customFormat="1" ht="19.5" customHeight="1">
      <c r="A189" s="142" t="s">
        <v>51</v>
      </c>
      <c r="B189" s="130" t="s">
        <v>29</v>
      </c>
      <c r="C189" s="130"/>
      <c r="D189" s="130"/>
      <c r="E189" s="276"/>
      <c r="F189" s="323"/>
      <c r="G189" s="323"/>
      <c r="H189" s="323"/>
      <c r="I189" s="328"/>
      <c r="J189" s="321"/>
      <c r="K189" s="321"/>
      <c r="L189" s="321"/>
      <c r="M189" s="321"/>
      <c r="N189" s="321"/>
      <c r="O189" s="321"/>
    </row>
    <row r="190" spans="1:15" s="137" customFormat="1" ht="25.5" customHeight="1">
      <c r="A190" s="155" t="s">
        <v>230</v>
      </c>
      <c r="B190" s="156"/>
      <c r="C190" s="157" t="s">
        <v>336</v>
      </c>
      <c r="D190" s="158"/>
      <c r="E190" s="280"/>
      <c r="F190" s="334"/>
      <c r="G190" s="334"/>
      <c r="H190" s="334"/>
      <c r="I190" s="321"/>
      <c r="J190" s="321"/>
      <c r="K190" s="321"/>
      <c r="L190" s="321"/>
      <c r="M190" s="321"/>
      <c r="N190" s="321"/>
      <c r="O190" s="321"/>
    </row>
    <row r="191" spans="1:15" s="137" customFormat="1" ht="31.5" customHeight="1">
      <c r="A191" s="143" t="s">
        <v>231</v>
      </c>
      <c r="B191" s="144"/>
      <c r="C191" s="202" t="s">
        <v>335</v>
      </c>
      <c r="D191" s="203"/>
      <c r="E191" s="203"/>
      <c r="F191" s="203"/>
      <c r="G191" s="203"/>
      <c r="H191" s="203"/>
      <c r="I191" s="321"/>
      <c r="J191" s="321"/>
      <c r="K191" s="321"/>
      <c r="L191" s="321"/>
      <c r="M191" s="321"/>
      <c r="N191" s="321"/>
      <c r="O191" s="321"/>
    </row>
    <row r="192" spans="1:15" s="137" customFormat="1" ht="28.5" customHeight="1">
      <c r="A192" s="145" t="s">
        <v>232</v>
      </c>
      <c r="B192" s="146"/>
      <c r="C192" s="147" t="s">
        <v>234</v>
      </c>
      <c r="D192" s="148" t="s">
        <v>7</v>
      </c>
      <c r="E192" s="287"/>
      <c r="F192" s="335">
        <v>87.1</v>
      </c>
      <c r="G192" s="336">
        <v>82.7</v>
      </c>
      <c r="H192" s="326">
        <v>169.8</v>
      </c>
      <c r="I192" s="321"/>
      <c r="J192" s="321"/>
      <c r="K192" s="321">
        <f>I192+J192</f>
        <v>0</v>
      </c>
      <c r="L192" s="321">
        <f>H192*I192</f>
        <v>0</v>
      </c>
      <c r="M192" s="321">
        <f>H192*J192</f>
        <v>0</v>
      </c>
      <c r="N192" s="321">
        <f>SUM(L192:M192)</f>
        <v>0</v>
      </c>
      <c r="O192" s="321"/>
    </row>
    <row r="193" spans="1:15" s="137" customFormat="1" ht="19.5" customHeight="1">
      <c r="A193" s="149"/>
      <c r="B193" s="150"/>
      <c r="C193" s="151" t="s">
        <v>164</v>
      </c>
      <c r="D193" s="152" t="s">
        <v>21</v>
      </c>
      <c r="E193" s="279">
        <v>0.15</v>
      </c>
      <c r="F193" s="329">
        <v>13.07</v>
      </c>
      <c r="G193" s="330">
        <v>12.41</v>
      </c>
      <c r="H193" s="331">
        <v>25.48</v>
      </c>
      <c r="I193" s="321"/>
      <c r="J193" s="321"/>
      <c r="K193" s="321"/>
      <c r="L193" s="321"/>
      <c r="M193" s="321"/>
      <c r="N193" s="321"/>
      <c r="O193" s="321"/>
    </row>
    <row r="194" spans="1:15" s="137" customFormat="1" ht="19.5" customHeight="1">
      <c r="A194" s="149"/>
      <c r="B194" s="150"/>
      <c r="C194" s="168" t="s">
        <v>233</v>
      </c>
      <c r="D194" s="162" t="s">
        <v>8</v>
      </c>
      <c r="E194" s="288">
        <v>2.4</v>
      </c>
      <c r="F194" s="329">
        <v>209.04</v>
      </c>
      <c r="G194" s="330">
        <v>198.48</v>
      </c>
      <c r="H194" s="331">
        <v>407.52</v>
      </c>
      <c r="I194" s="321"/>
      <c r="J194" s="321"/>
      <c r="K194" s="321"/>
      <c r="L194" s="321"/>
      <c r="M194" s="321"/>
      <c r="N194" s="321"/>
      <c r="O194" s="321"/>
    </row>
    <row r="195" spans="1:15" s="137" customFormat="1" ht="28.5" customHeight="1">
      <c r="A195" s="145" t="s">
        <v>235</v>
      </c>
      <c r="B195" s="159"/>
      <c r="C195" s="160" t="s">
        <v>247</v>
      </c>
      <c r="D195" s="161" t="s">
        <v>7</v>
      </c>
      <c r="E195" s="286"/>
      <c r="F195" s="337">
        <v>87.1</v>
      </c>
      <c r="G195" s="336">
        <v>82.7</v>
      </c>
      <c r="H195" s="326">
        <v>169.8</v>
      </c>
      <c r="I195" s="321"/>
      <c r="J195" s="321"/>
      <c r="K195" s="321">
        <f>I195+J195</f>
        <v>0</v>
      </c>
      <c r="L195" s="321">
        <f>H195*I195</f>
        <v>0</v>
      </c>
      <c r="M195" s="321">
        <f>H195*J195</f>
        <v>0</v>
      </c>
      <c r="N195" s="321">
        <f>SUM(L195:M195)</f>
        <v>0</v>
      </c>
      <c r="O195" s="321"/>
    </row>
    <row r="196" spans="1:15" s="137" customFormat="1" ht="19.5" customHeight="1">
      <c r="A196" s="149"/>
      <c r="B196" s="150"/>
      <c r="C196" s="151" t="s">
        <v>248</v>
      </c>
      <c r="D196" s="164" t="s">
        <v>8</v>
      </c>
      <c r="E196" s="284">
        <v>0.2</v>
      </c>
      <c r="F196" s="329">
        <v>17.420000000000002</v>
      </c>
      <c r="G196" s="330">
        <v>16.54</v>
      </c>
      <c r="H196" s="331">
        <v>33.96</v>
      </c>
      <c r="I196" s="321"/>
      <c r="J196" s="321"/>
      <c r="K196" s="321"/>
      <c r="L196" s="321"/>
      <c r="M196" s="321"/>
      <c r="N196" s="321"/>
      <c r="O196" s="321"/>
    </row>
    <row r="197" spans="1:15" s="137" customFormat="1" ht="19.5" customHeight="1">
      <c r="A197" s="143" t="s">
        <v>236</v>
      </c>
      <c r="B197" s="144"/>
      <c r="C197" s="133" t="s">
        <v>240</v>
      </c>
      <c r="D197" s="132"/>
      <c r="E197" s="277"/>
      <c r="F197" s="324"/>
      <c r="G197" s="324"/>
      <c r="H197" s="324"/>
      <c r="I197" s="321"/>
      <c r="J197" s="321"/>
      <c r="K197" s="321"/>
      <c r="L197" s="321"/>
      <c r="M197" s="321"/>
      <c r="N197" s="321"/>
      <c r="O197" s="321"/>
    </row>
    <row r="198" spans="1:15" s="137" customFormat="1" ht="28.5" customHeight="1">
      <c r="A198" s="145" t="s">
        <v>237</v>
      </c>
      <c r="B198" s="146"/>
      <c r="C198" s="147" t="s">
        <v>34</v>
      </c>
      <c r="D198" s="148" t="s">
        <v>7</v>
      </c>
      <c r="E198" s="287"/>
      <c r="F198" s="335">
        <v>11.3</v>
      </c>
      <c r="G198" s="336">
        <v>11.3</v>
      </c>
      <c r="H198" s="326">
        <v>22.6</v>
      </c>
      <c r="I198" s="321"/>
      <c r="J198" s="321"/>
      <c r="K198" s="321">
        <f>I198+J198</f>
        <v>0</v>
      </c>
      <c r="L198" s="321">
        <f>H198*I198</f>
        <v>0</v>
      </c>
      <c r="M198" s="321">
        <f>H198*J198</f>
        <v>0</v>
      </c>
      <c r="N198" s="321">
        <f>SUM(L198:M198)</f>
        <v>0</v>
      </c>
      <c r="O198" s="321"/>
    </row>
    <row r="199" spans="1:15" s="137" customFormat="1" ht="19.5" customHeight="1">
      <c r="A199" s="149"/>
      <c r="B199" s="150"/>
      <c r="C199" s="151" t="s">
        <v>31</v>
      </c>
      <c r="D199" s="152" t="s">
        <v>22</v>
      </c>
      <c r="E199" s="279">
        <v>0.21</v>
      </c>
      <c r="F199" s="329">
        <v>2.37</v>
      </c>
      <c r="G199" s="330">
        <v>2.37</v>
      </c>
      <c r="H199" s="331">
        <v>4.74</v>
      </c>
      <c r="I199" s="321"/>
      <c r="J199" s="321"/>
      <c r="K199" s="321"/>
      <c r="L199" s="321"/>
      <c r="M199" s="321"/>
      <c r="N199" s="321"/>
      <c r="O199" s="321"/>
    </row>
    <row r="200" spans="1:15" s="137" customFormat="1" ht="19.5" customHeight="1">
      <c r="A200" s="149"/>
      <c r="B200" s="150"/>
      <c r="C200" s="151" t="s">
        <v>315</v>
      </c>
      <c r="D200" s="152" t="s">
        <v>7</v>
      </c>
      <c r="E200" s="279">
        <v>1.1299999999999999</v>
      </c>
      <c r="F200" s="329">
        <v>12.77</v>
      </c>
      <c r="G200" s="330">
        <v>12.77</v>
      </c>
      <c r="H200" s="331">
        <v>25.54</v>
      </c>
      <c r="I200" s="321"/>
      <c r="J200" s="321"/>
      <c r="K200" s="321"/>
      <c r="L200" s="321"/>
      <c r="M200" s="321"/>
      <c r="N200" s="321"/>
      <c r="O200" s="321"/>
    </row>
    <row r="201" spans="1:15" s="137" customFormat="1" ht="19.5" customHeight="1">
      <c r="A201" s="149"/>
      <c r="B201" s="150"/>
      <c r="C201" s="151" t="s">
        <v>32</v>
      </c>
      <c r="D201" s="152" t="s">
        <v>18</v>
      </c>
      <c r="E201" s="279">
        <v>2</v>
      </c>
      <c r="F201" s="329">
        <v>22.6</v>
      </c>
      <c r="G201" s="330">
        <v>22.6</v>
      </c>
      <c r="H201" s="331">
        <v>45.2</v>
      </c>
      <c r="I201" s="321"/>
      <c r="J201" s="321"/>
      <c r="K201" s="321"/>
      <c r="L201" s="321"/>
      <c r="M201" s="321"/>
      <c r="N201" s="321"/>
      <c r="O201" s="321"/>
    </row>
    <row r="202" spans="1:15" s="137" customFormat="1" ht="19.5" customHeight="1">
      <c r="A202" s="167"/>
      <c r="B202" s="169"/>
      <c r="C202" s="151" t="s">
        <v>33</v>
      </c>
      <c r="D202" s="152" t="s">
        <v>18</v>
      </c>
      <c r="E202" s="279">
        <v>0.64</v>
      </c>
      <c r="F202" s="329">
        <v>7.23</v>
      </c>
      <c r="G202" s="330">
        <v>7.23</v>
      </c>
      <c r="H202" s="331">
        <v>14.46</v>
      </c>
      <c r="I202" s="321"/>
      <c r="J202" s="321"/>
      <c r="K202" s="321"/>
      <c r="L202" s="321"/>
      <c r="M202" s="321"/>
      <c r="N202" s="321"/>
      <c r="O202" s="321"/>
    </row>
    <row r="203" spans="1:15" s="137" customFormat="1" ht="19.5" customHeight="1">
      <c r="A203" s="145" t="s">
        <v>238</v>
      </c>
      <c r="B203" s="146"/>
      <c r="C203" s="147" t="s">
        <v>30</v>
      </c>
      <c r="D203" s="148" t="s">
        <v>7</v>
      </c>
      <c r="E203" s="287"/>
      <c r="F203" s="337">
        <v>11.3</v>
      </c>
      <c r="G203" s="336">
        <v>11.3</v>
      </c>
      <c r="H203" s="326">
        <v>22.6</v>
      </c>
      <c r="I203" s="321"/>
      <c r="J203" s="321"/>
      <c r="K203" s="321">
        <f>I203+J203</f>
        <v>0</v>
      </c>
      <c r="L203" s="321">
        <f>H203*I203</f>
        <v>0</v>
      </c>
      <c r="M203" s="321">
        <f>H203*J203</f>
        <v>0</v>
      </c>
      <c r="N203" s="321">
        <f>SUM(L203:M203)</f>
        <v>0</v>
      </c>
      <c r="O203" s="321"/>
    </row>
    <row r="204" spans="1:15" s="137" customFormat="1" ht="19.5" customHeight="1">
      <c r="A204" s="149"/>
      <c r="B204" s="150"/>
      <c r="C204" s="168" t="s">
        <v>233</v>
      </c>
      <c r="D204" s="162" t="s">
        <v>8</v>
      </c>
      <c r="E204" s="288">
        <v>1.2</v>
      </c>
      <c r="F204" s="329">
        <v>13.56</v>
      </c>
      <c r="G204" s="330">
        <v>13.56</v>
      </c>
      <c r="H204" s="331">
        <v>27.12</v>
      </c>
      <c r="I204" s="321"/>
      <c r="J204" s="321"/>
      <c r="K204" s="321"/>
      <c r="L204" s="321"/>
      <c r="M204" s="321"/>
      <c r="N204" s="321"/>
      <c r="O204" s="321"/>
    </row>
    <row r="205" spans="1:15" s="137" customFormat="1" ht="30.75" customHeight="1">
      <c r="A205" s="145" t="s">
        <v>239</v>
      </c>
      <c r="B205" s="159"/>
      <c r="C205" s="160" t="s">
        <v>247</v>
      </c>
      <c r="D205" s="161" t="s">
        <v>7</v>
      </c>
      <c r="E205" s="286"/>
      <c r="F205" s="337">
        <v>11.3</v>
      </c>
      <c r="G205" s="336">
        <v>11.3</v>
      </c>
      <c r="H205" s="326">
        <v>22.6</v>
      </c>
      <c r="I205" s="321"/>
      <c r="J205" s="321"/>
      <c r="K205" s="321">
        <f>I205+J205</f>
        <v>0</v>
      </c>
      <c r="L205" s="321">
        <f>H205*I205</f>
        <v>0</v>
      </c>
      <c r="M205" s="321">
        <f>H205*J205</f>
        <v>0</v>
      </c>
      <c r="N205" s="321">
        <f>SUM(L205:M205)</f>
        <v>0</v>
      </c>
      <c r="O205" s="321"/>
    </row>
    <row r="206" spans="1:15" s="137" customFormat="1" ht="19.5" customHeight="1">
      <c r="A206" s="149"/>
      <c r="B206" s="150"/>
      <c r="C206" s="151" t="s">
        <v>249</v>
      </c>
      <c r="D206" s="164" t="s">
        <v>8</v>
      </c>
      <c r="E206" s="284">
        <v>0.2</v>
      </c>
      <c r="F206" s="329">
        <v>2.2599999999999998</v>
      </c>
      <c r="G206" s="330">
        <v>2.2599999999999998</v>
      </c>
      <c r="H206" s="331">
        <v>4.5199999999999996</v>
      </c>
      <c r="I206" s="321"/>
      <c r="J206" s="321"/>
      <c r="K206" s="321"/>
      <c r="L206" s="321"/>
      <c r="M206" s="321"/>
      <c r="N206" s="321"/>
      <c r="O206" s="321"/>
    </row>
    <row r="207" spans="1:15" s="137" customFormat="1" ht="19.5" customHeight="1">
      <c r="A207" s="143" t="s">
        <v>241</v>
      </c>
      <c r="B207" s="144"/>
      <c r="C207" s="133" t="s">
        <v>242</v>
      </c>
      <c r="D207" s="132"/>
      <c r="E207" s="277"/>
      <c r="F207" s="324"/>
      <c r="G207" s="324"/>
      <c r="H207" s="324"/>
      <c r="I207" s="321"/>
      <c r="J207" s="321"/>
      <c r="K207" s="321"/>
      <c r="L207" s="321"/>
      <c r="M207" s="321"/>
      <c r="N207" s="321"/>
      <c r="O207" s="321"/>
    </row>
    <row r="208" spans="1:15" s="137" customFormat="1" ht="19.5" customHeight="1">
      <c r="A208" s="145" t="s">
        <v>243</v>
      </c>
      <c r="B208" s="146"/>
      <c r="C208" s="147" t="s">
        <v>35</v>
      </c>
      <c r="D208" s="148" t="s">
        <v>7</v>
      </c>
      <c r="E208" s="287"/>
      <c r="F208" s="335">
        <v>33.11</v>
      </c>
      <c r="G208" s="336"/>
      <c r="H208" s="326">
        <v>33.11</v>
      </c>
      <c r="I208" s="321"/>
      <c r="J208" s="321"/>
      <c r="K208" s="321">
        <f>I208+J208</f>
        <v>0</v>
      </c>
      <c r="L208" s="321">
        <f>H208*I208</f>
        <v>0</v>
      </c>
      <c r="M208" s="321">
        <f>H208*J208</f>
        <v>0</v>
      </c>
      <c r="N208" s="321">
        <f>SUM(L208:M208)</f>
        <v>0</v>
      </c>
      <c r="O208" s="321"/>
    </row>
    <row r="209" spans="1:15" s="137" customFormat="1" ht="19.5" customHeight="1">
      <c r="A209" s="149"/>
      <c r="B209" s="150"/>
      <c r="C209" s="151" t="s">
        <v>24</v>
      </c>
      <c r="D209" s="152" t="s">
        <v>22</v>
      </c>
      <c r="E209" s="279">
        <v>0.11</v>
      </c>
      <c r="F209" s="329">
        <v>3.48</v>
      </c>
      <c r="G209" s="330"/>
      <c r="H209" s="331">
        <v>3.48</v>
      </c>
      <c r="I209" s="321"/>
      <c r="J209" s="321"/>
      <c r="K209" s="321"/>
      <c r="L209" s="321"/>
      <c r="M209" s="321"/>
      <c r="N209" s="321"/>
      <c r="O209" s="321"/>
    </row>
    <row r="210" spans="1:15" s="137" customFormat="1" ht="19.5" customHeight="1">
      <c r="A210" s="149"/>
      <c r="B210" s="150"/>
      <c r="C210" s="151" t="s">
        <v>315</v>
      </c>
      <c r="D210" s="152" t="s">
        <v>7</v>
      </c>
      <c r="E210" s="279">
        <v>1.1299999999999999</v>
      </c>
      <c r="F210" s="329">
        <v>37.409999999999997</v>
      </c>
      <c r="G210" s="330"/>
      <c r="H210" s="331">
        <v>37.409999999999997</v>
      </c>
      <c r="I210" s="321"/>
      <c r="J210" s="321"/>
      <c r="K210" s="321"/>
      <c r="L210" s="321"/>
      <c r="M210" s="321"/>
      <c r="N210" s="321"/>
      <c r="O210" s="321"/>
    </row>
    <row r="211" spans="1:15" s="137" customFormat="1" ht="19.5" customHeight="1">
      <c r="A211" s="149"/>
      <c r="B211" s="150"/>
      <c r="C211" s="151" t="s">
        <v>32</v>
      </c>
      <c r="D211" s="152" t="s">
        <v>18</v>
      </c>
      <c r="E211" s="279">
        <v>2</v>
      </c>
      <c r="F211" s="329">
        <v>66.22</v>
      </c>
      <c r="G211" s="330"/>
      <c r="H211" s="331">
        <v>66.22</v>
      </c>
      <c r="I211" s="321"/>
      <c r="J211" s="321"/>
      <c r="K211" s="321"/>
      <c r="L211" s="321"/>
      <c r="M211" s="321"/>
      <c r="N211" s="321"/>
      <c r="O211" s="321"/>
    </row>
    <row r="212" spans="1:15" s="137" customFormat="1" ht="19.5" customHeight="1">
      <c r="A212" s="167"/>
      <c r="B212" s="169"/>
      <c r="C212" s="151" t="s">
        <v>33</v>
      </c>
      <c r="D212" s="152" t="s">
        <v>18</v>
      </c>
      <c r="E212" s="279">
        <v>0.64</v>
      </c>
      <c r="F212" s="329">
        <v>21.19</v>
      </c>
      <c r="G212" s="330"/>
      <c r="H212" s="331">
        <v>21.19</v>
      </c>
      <c r="I212" s="321"/>
      <c r="J212" s="321"/>
      <c r="K212" s="321"/>
      <c r="L212" s="321"/>
      <c r="M212" s="321"/>
      <c r="N212" s="321"/>
      <c r="O212" s="321"/>
    </row>
    <row r="213" spans="1:15" s="137" customFormat="1" ht="19.5" customHeight="1">
      <c r="A213" s="145" t="s">
        <v>244</v>
      </c>
      <c r="B213" s="146"/>
      <c r="C213" s="147" t="s">
        <v>30</v>
      </c>
      <c r="D213" s="148" t="s">
        <v>7</v>
      </c>
      <c r="E213" s="287"/>
      <c r="F213" s="337">
        <v>33.11</v>
      </c>
      <c r="G213" s="336"/>
      <c r="H213" s="326">
        <v>33.11</v>
      </c>
      <c r="I213" s="321"/>
      <c r="J213" s="321"/>
      <c r="K213" s="321">
        <f>I213+J213</f>
        <v>0</v>
      </c>
      <c r="L213" s="321">
        <f>H213*I213</f>
        <v>0</v>
      </c>
      <c r="M213" s="321">
        <f>H213*J213</f>
        <v>0</v>
      </c>
      <c r="N213" s="321">
        <f>SUM(L213:M213)</f>
        <v>0</v>
      </c>
      <c r="O213" s="321"/>
    </row>
    <row r="214" spans="1:15" s="137" customFormat="1" ht="19.5" customHeight="1">
      <c r="A214" s="149"/>
      <c r="B214" s="150"/>
      <c r="C214" s="168" t="s">
        <v>233</v>
      </c>
      <c r="D214" s="162" t="s">
        <v>8</v>
      </c>
      <c r="E214" s="288">
        <v>1.2</v>
      </c>
      <c r="F214" s="329">
        <v>39.729999999999997</v>
      </c>
      <c r="G214" s="330"/>
      <c r="H214" s="331">
        <v>39.729999999999997</v>
      </c>
      <c r="I214" s="321"/>
      <c r="J214" s="321"/>
      <c r="K214" s="321"/>
      <c r="L214" s="321"/>
      <c r="M214" s="321"/>
      <c r="N214" s="321"/>
      <c r="O214" s="321"/>
    </row>
    <row r="215" spans="1:15" s="137" customFormat="1" ht="19.5" customHeight="1">
      <c r="A215" s="145" t="s">
        <v>245</v>
      </c>
      <c r="B215" s="159"/>
      <c r="C215" s="160" t="s">
        <v>247</v>
      </c>
      <c r="D215" s="161" t="s">
        <v>7</v>
      </c>
      <c r="E215" s="286"/>
      <c r="F215" s="337">
        <v>33.11</v>
      </c>
      <c r="G215" s="336"/>
      <c r="H215" s="326">
        <v>33.11</v>
      </c>
      <c r="I215" s="321"/>
      <c r="J215" s="321"/>
      <c r="K215" s="321">
        <f>I215+J215</f>
        <v>0</v>
      </c>
      <c r="L215" s="321">
        <f>H215*I215</f>
        <v>0</v>
      </c>
      <c r="M215" s="321">
        <f>H215*J215</f>
        <v>0</v>
      </c>
      <c r="N215" s="321">
        <f>SUM(L215:M215)</f>
        <v>0</v>
      </c>
      <c r="O215" s="321"/>
    </row>
    <row r="216" spans="1:15" s="137" customFormat="1" ht="19.5" customHeight="1">
      <c r="A216" s="149"/>
      <c r="B216" s="150"/>
      <c r="C216" s="151" t="s">
        <v>249</v>
      </c>
      <c r="D216" s="164" t="s">
        <v>8</v>
      </c>
      <c r="E216" s="284">
        <v>0.2</v>
      </c>
      <c r="F216" s="329">
        <v>6.62</v>
      </c>
      <c r="G216" s="330"/>
      <c r="H216" s="331">
        <v>6.62</v>
      </c>
      <c r="I216" s="321"/>
      <c r="J216" s="321"/>
      <c r="K216" s="321"/>
      <c r="L216" s="321"/>
      <c r="M216" s="321"/>
      <c r="N216" s="321"/>
      <c r="O216" s="321"/>
    </row>
    <row r="217" spans="1:15" s="137" customFormat="1" ht="27" customHeight="1">
      <c r="A217" s="155" t="s">
        <v>246</v>
      </c>
      <c r="B217" s="156"/>
      <c r="C217" s="204" t="s">
        <v>36</v>
      </c>
      <c r="D217" s="205"/>
      <c r="E217" s="205"/>
      <c r="F217" s="205"/>
      <c r="G217" s="205"/>
      <c r="H217" s="205"/>
      <c r="I217" s="321"/>
      <c r="J217" s="321"/>
      <c r="K217" s="321"/>
      <c r="L217" s="321"/>
      <c r="M217" s="321"/>
      <c r="N217" s="321"/>
      <c r="O217" s="321"/>
    </row>
    <row r="218" spans="1:15" s="102" customFormat="1" ht="22.5" customHeight="1">
      <c r="A218" s="143" t="s">
        <v>252</v>
      </c>
      <c r="B218" s="144"/>
      <c r="C218" s="131" t="s">
        <v>337</v>
      </c>
      <c r="D218" s="132"/>
      <c r="E218" s="277"/>
      <c r="F218" s="324"/>
      <c r="G218" s="324"/>
      <c r="H218" s="324"/>
      <c r="I218" s="321"/>
      <c r="J218" s="328"/>
      <c r="K218" s="328"/>
      <c r="L218" s="328"/>
      <c r="M218" s="328"/>
      <c r="N218" s="328"/>
      <c r="O218" s="328"/>
    </row>
    <row r="219" spans="1:15" s="102" customFormat="1" ht="22.5" customHeight="1">
      <c r="A219" s="145" t="s">
        <v>250</v>
      </c>
      <c r="B219" s="146"/>
      <c r="C219" s="147" t="s">
        <v>30</v>
      </c>
      <c r="D219" s="148" t="s">
        <v>7</v>
      </c>
      <c r="E219" s="287"/>
      <c r="F219" s="335">
        <v>400.1</v>
      </c>
      <c r="G219" s="336">
        <v>402.4</v>
      </c>
      <c r="H219" s="326">
        <v>802.5</v>
      </c>
      <c r="I219" s="321"/>
      <c r="J219" s="328"/>
      <c r="K219" s="328">
        <f>I219+J219</f>
        <v>0</v>
      </c>
      <c r="L219" s="328">
        <f>H219*I219</f>
        <v>0</v>
      </c>
      <c r="M219" s="328">
        <f>H219*J219</f>
        <v>0</v>
      </c>
      <c r="N219" s="328">
        <f>SUM(L219:M219)</f>
        <v>0</v>
      </c>
      <c r="O219" s="328"/>
    </row>
    <row r="220" spans="1:15" s="102" customFormat="1" ht="22.5" customHeight="1">
      <c r="A220" s="149"/>
      <c r="B220" s="150"/>
      <c r="C220" s="151" t="s">
        <v>164</v>
      </c>
      <c r="D220" s="162" t="s">
        <v>21</v>
      </c>
      <c r="E220" s="288">
        <v>0.15</v>
      </c>
      <c r="F220" s="329">
        <v>60.02</v>
      </c>
      <c r="G220" s="330">
        <v>60.36</v>
      </c>
      <c r="H220" s="331">
        <v>120.38</v>
      </c>
      <c r="I220" s="321"/>
      <c r="J220" s="328"/>
      <c r="K220" s="328"/>
      <c r="L220" s="328"/>
      <c r="M220" s="328"/>
      <c r="N220" s="328"/>
      <c r="O220" s="328"/>
    </row>
    <row r="221" spans="1:15" s="102" customFormat="1" ht="22.5" customHeight="1">
      <c r="A221" s="149"/>
      <c r="B221" s="150"/>
      <c r="C221" s="151" t="s">
        <v>201</v>
      </c>
      <c r="D221" s="152" t="s">
        <v>8</v>
      </c>
      <c r="E221" s="279">
        <v>1.2</v>
      </c>
      <c r="F221" s="329">
        <v>480.12</v>
      </c>
      <c r="G221" s="330">
        <v>482.88</v>
      </c>
      <c r="H221" s="331">
        <v>963</v>
      </c>
      <c r="I221" s="321"/>
      <c r="J221" s="328"/>
      <c r="K221" s="328"/>
      <c r="L221" s="328"/>
      <c r="M221" s="328"/>
      <c r="N221" s="328"/>
      <c r="O221" s="328"/>
    </row>
    <row r="222" spans="1:15" s="102" customFormat="1" ht="22.5" customHeight="1">
      <c r="A222" s="145" t="s">
        <v>251</v>
      </c>
      <c r="B222" s="159"/>
      <c r="C222" s="160" t="s">
        <v>247</v>
      </c>
      <c r="D222" s="161" t="s">
        <v>7</v>
      </c>
      <c r="E222" s="286"/>
      <c r="F222" s="337">
        <v>400.1</v>
      </c>
      <c r="G222" s="336">
        <v>402.4</v>
      </c>
      <c r="H222" s="326">
        <v>802.5</v>
      </c>
      <c r="I222" s="321"/>
      <c r="J222" s="328"/>
      <c r="K222" s="328">
        <f>I222+J222</f>
        <v>0</v>
      </c>
      <c r="L222" s="328">
        <f>H222*I222</f>
        <v>0</v>
      </c>
      <c r="M222" s="328">
        <f>H222*J222</f>
        <v>0</v>
      </c>
      <c r="N222" s="328">
        <f>SUM(L222:M222)</f>
        <v>0</v>
      </c>
      <c r="O222" s="328"/>
    </row>
    <row r="223" spans="1:15" s="102" customFormat="1" ht="22.5" customHeight="1">
      <c r="A223" s="149"/>
      <c r="B223" s="150"/>
      <c r="C223" s="151" t="s">
        <v>249</v>
      </c>
      <c r="D223" s="164" t="s">
        <v>8</v>
      </c>
      <c r="E223" s="284">
        <v>0.2</v>
      </c>
      <c r="F223" s="329">
        <v>80.02</v>
      </c>
      <c r="G223" s="330">
        <v>80.48</v>
      </c>
      <c r="H223" s="331">
        <v>160.5</v>
      </c>
      <c r="I223" s="321"/>
      <c r="J223" s="328"/>
      <c r="K223" s="328"/>
      <c r="L223" s="328"/>
      <c r="M223" s="328"/>
      <c r="N223" s="328"/>
      <c r="O223" s="328"/>
    </row>
    <row r="224" spans="1:15" s="137" customFormat="1" ht="29.25" customHeight="1">
      <c r="A224" s="140" t="s">
        <v>9</v>
      </c>
      <c r="B224" s="129"/>
      <c r="C224" s="141" t="s">
        <v>37</v>
      </c>
      <c r="D224" s="141"/>
      <c r="E224" s="275"/>
      <c r="F224" s="322"/>
      <c r="G224" s="322"/>
      <c r="H224" s="322"/>
      <c r="I224" s="321"/>
      <c r="J224" s="321"/>
      <c r="K224" s="321"/>
      <c r="L224" s="321"/>
      <c r="M224" s="321"/>
      <c r="N224" s="321"/>
      <c r="O224" s="321"/>
    </row>
    <row r="225" spans="1:15" s="137" customFormat="1" ht="19.5" customHeight="1">
      <c r="A225" s="142" t="s">
        <v>253</v>
      </c>
      <c r="B225" s="130" t="s">
        <v>28</v>
      </c>
      <c r="C225" s="130"/>
      <c r="D225" s="130"/>
      <c r="E225" s="276"/>
      <c r="F225" s="323"/>
      <c r="G225" s="323"/>
      <c r="H225" s="323"/>
      <c r="I225" s="321"/>
      <c r="J225" s="321"/>
      <c r="K225" s="321"/>
      <c r="L225" s="321"/>
      <c r="M225" s="321"/>
      <c r="N225" s="321"/>
      <c r="O225" s="321"/>
    </row>
    <row r="226" spans="1:15" s="137" customFormat="1" ht="27" customHeight="1">
      <c r="A226" s="155" t="s">
        <v>254</v>
      </c>
      <c r="B226" s="156"/>
      <c r="C226" s="204" t="s">
        <v>38</v>
      </c>
      <c r="D226" s="205"/>
      <c r="E226" s="205"/>
      <c r="F226" s="205"/>
      <c r="G226" s="205"/>
      <c r="H226" s="205"/>
      <c r="I226" s="321"/>
      <c r="J226" s="321"/>
      <c r="K226" s="321"/>
      <c r="L226" s="321"/>
      <c r="M226" s="321"/>
      <c r="N226" s="321"/>
      <c r="O226" s="321"/>
    </row>
    <row r="227" spans="1:15" s="137" customFormat="1" ht="27" customHeight="1">
      <c r="A227" s="143" t="s">
        <v>255</v>
      </c>
      <c r="B227" s="144"/>
      <c r="C227" s="131" t="s">
        <v>180</v>
      </c>
      <c r="D227" s="132"/>
      <c r="E227" s="277"/>
      <c r="F227" s="324"/>
      <c r="G227" s="324"/>
      <c r="H227" s="324"/>
      <c r="I227" s="321"/>
      <c r="J227" s="321"/>
      <c r="K227" s="321"/>
      <c r="L227" s="321"/>
      <c r="M227" s="321"/>
      <c r="N227" s="321"/>
      <c r="O227" s="321"/>
    </row>
    <row r="228" spans="1:15" s="137" customFormat="1" ht="21.75" customHeight="1">
      <c r="A228" s="145" t="s">
        <v>256</v>
      </c>
      <c r="B228" s="159"/>
      <c r="C228" s="160" t="s">
        <v>150</v>
      </c>
      <c r="D228" s="161" t="s">
        <v>7</v>
      </c>
      <c r="E228" s="281"/>
      <c r="F228" s="335">
        <v>881.14</v>
      </c>
      <c r="G228" s="336">
        <v>881.14</v>
      </c>
      <c r="H228" s="326">
        <v>1762.28</v>
      </c>
      <c r="I228" s="320"/>
      <c r="J228" s="321"/>
      <c r="K228" s="321">
        <f>I228+J228</f>
        <v>0</v>
      </c>
      <c r="L228" s="321">
        <f>H228*I228</f>
        <v>0</v>
      </c>
      <c r="M228" s="321">
        <f>H228*J228</f>
        <v>0</v>
      </c>
      <c r="N228" s="321">
        <f>SUM(L228:M228)</f>
        <v>0</v>
      </c>
      <c r="O228" s="321"/>
    </row>
    <row r="229" spans="1:15" s="137" customFormat="1" ht="105">
      <c r="A229" s="149"/>
      <c r="B229" s="150"/>
      <c r="C229" s="151" t="s">
        <v>212</v>
      </c>
      <c r="D229" s="152" t="s">
        <v>22</v>
      </c>
      <c r="E229" s="279">
        <v>1.05</v>
      </c>
      <c r="F229" s="338">
        <v>138.78</v>
      </c>
      <c r="G229" s="343">
        <v>138.78</v>
      </c>
      <c r="H229" s="331">
        <v>277.56</v>
      </c>
      <c r="I229" s="321"/>
      <c r="J229" s="321"/>
      <c r="K229" s="321"/>
      <c r="L229" s="321"/>
      <c r="M229" s="321"/>
      <c r="N229" s="321"/>
      <c r="O229" s="321"/>
    </row>
    <row r="230" spans="1:15" s="137" customFormat="1" ht="21" customHeight="1">
      <c r="A230" s="149"/>
      <c r="B230" s="150"/>
      <c r="C230" s="151" t="s">
        <v>186</v>
      </c>
      <c r="D230" s="152" t="s">
        <v>8</v>
      </c>
      <c r="E230" s="279">
        <v>6</v>
      </c>
      <c r="F230" s="329">
        <v>5286.84</v>
      </c>
      <c r="G230" s="343">
        <v>5286.84</v>
      </c>
      <c r="H230" s="331">
        <v>10573.68</v>
      </c>
      <c r="I230" s="321"/>
      <c r="J230" s="321"/>
      <c r="K230" s="321"/>
      <c r="L230" s="321"/>
      <c r="M230" s="321"/>
      <c r="N230" s="321"/>
      <c r="O230" s="321"/>
    </row>
    <row r="231" spans="1:15" s="137" customFormat="1" ht="21" customHeight="1">
      <c r="A231" s="149"/>
      <c r="B231" s="150"/>
      <c r="C231" s="151" t="s">
        <v>23</v>
      </c>
      <c r="D231" s="152" t="s">
        <v>20</v>
      </c>
      <c r="E231" s="279">
        <v>7</v>
      </c>
      <c r="F231" s="329">
        <v>6168</v>
      </c>
      <c r="G231" s="330">
        <v>6168</v>
      </c>
      <c r="H231" s="331">
        <v>12336</v>
      </c>
      <c r="I231" s="321"/>
      <c r="J231" s="321"/>
      <c r="K231" s="321"/>
      <c r="L231" s="321"/>
      <c r="M231" s="321"/>
      <c r="N231" s="321"/>
      <c r="O231" s="321"/>
    </row>
    <row r="232" spans="1:15" s="137" customFormat="1" ht="26.25" customHeight="1">
      <c r="A232" s="145" t="s">
        <v>257</v>
      </c>
      <c r="B232" s="159"/>
      <c r="C232" s="160" t="s">
        <v>157</v>
      </c>
      <c r="D232" s="161" t="s">
        <v>7</v>
      </c>
      <c r="E232" s="281"/>
      <c r="F232" s="337">
        <v>998.98</v>
      </c>
      <c r="G232" s="336">
        <v>998.98</v>
      </c>
      <c r="H232" s="326">
        <v>1997.96</v>
      </c>
      <c r="I232" s="320"/>
      <c r="J232" s="321"/>
      <c r="K232" s="321">
        <f>I232+J232</f>
        <v>0</v>
      </c>
      <c r="L232" s="321">
        <f>H232*I232</f>
        <v>0</v>
      </c>
      <c r="M232" s="321">
        <f>H232*J232</f>
        <v>0</v>
      </c>
      <c r="N232" s="321">
        <f>SUM(L232:M232)</f>
        <v>0</v>
      </c>
      <c r="O232" s="321"/>
    </row>
    <row r="233" spans="1:15" s="137" customFormat="1" ht="21" customHeight="1">
      <c r="A233" s="149"/>
      <c r="B233" s="150"/>
      <c r="C233" s="151" t="s">
        <v>209</v>
      </c>
      <c r="D233" s="152" t="s">
        <v>8</v>
      </c>
      <c r="E233" s="279">
        <v>6</v>
      </c>
      <c r="F233" s="329">
        <v>5993.88</v>
      </c>
      <c r="G233" s="343">
        <v>5993.88</v>
      </c>
      <c r="H233" s="331">
        <v>11987.76</v>
      </c>
      <c r="I233" s="321"/>
      <c r="J233" s="321"/>
      <c r="K233" s="321"/>
      <c r="L233" s="321"/>
      <c r="M233" s="321"/>
      <c r="N233" s="321"/>
      <c r="O233" s="321"/>
    </row>
    <row r="234" spans="1:15" s="137" customFormat="1" ht="21" customHeight="1">
      <c r="A234" s="149"/>
      <c r="B234" s="150"/>
      <c r="C234" s="151" t="s">
        <v>210</v>
      </c>
      <c r="D234" s="152" t="s">
        <v>7</v>
      </c>
      <c r="E234" s="279">
        <v>1.1499999999999999</v>
      </c>
      <c r="F234" s="329">
        <v>1148.83</v>
      </c>
      <c r="G234" s="343">
        <v>1148.83</v>
      </c>
      <c r="H234" s="331">
        <v>2297.66</v>
      </c>
      <c r="I234" s="321"/>
      <c r="J234" s="321"/>
      <c r="K234" s="321"/>
      <c r="L234" s="321"/>
      <c r="M234" s="321"/>
      <c r="N234" s="321"/>
      <c r="O234" s="321"/>
    </row>
    <row r="235" spans="1:15" s="137" customFormat="1" ht="21" customHeight="1">
      <c r="A235" s="149"/>
      <c r="B235" s="150"/>
      <c r="C235" s="151" t="s">
        <v>149</v>
      </c>
      <c r="D235" s="152" t="s">
        <v>8</v>
      </c>
      <c r="E235" s="279">
        <v>0.3</v>
      </c>
      <c r="F235" s="329">
        <v>299.69</v>
      </c>
      <c r="G235" s="343">
        <v>299.69</v>
      </c>
      <c r="H235" s="331">
        <v>599.38</v>
      </c>
      <c r="I235" s="321"/>
      <c r="J235" s="321"/>
      <c r="K235" s="321"/>
      <c r="L235" s="321"/>
      <c r="M235" s="321"/>
      <c r="N235" s="321"/>
      <c r="O235" s="321"/>
    </row>
    <row r="236" spans="1:15" s="137" customFormat="1" ht="21" customHeight="1">
      <c r="A236" s="149"/>
      <c r="B236" s="150"/>
      <c r="C236" s="151" t="s">
        <v>151</v>
      </c>
      <c r="D236" s="152" t="s">
        <v>8</v>
      </c>
      <c r="E236" s="279">
        <v>3</v>
      </c>
      <c r="F236" s="329">
        <v>2996.94</v>
      </c>
      <c r="G236" s="343">
        <v>2996.94</v>
      </c>
      <c r="H236" s="331">
        <v>5993.88</v>
      </c>
      <c r="I236" s="321"/>
      <c r="J236" s="321"/>
      <c r="K236" s="321"/>
      <c r="L236" s="321"/>
      <c r="M236" s="321"/>
      <c r="N236" s="321"/>
      <c r="O236" s="321"/>
    </row>
    <row r="237" spans="1:15" s="137" customFormat="1" ht="24.75" customHeight="1">
      <c r="A237" s="149"/>
      <c r="B237" s="150"/>
      <c r="C237" s="151" t="s">
        <v>191</v>
      </c>
      <c r="D237" s="152" t="s">
        <v>8</v>
      </c>
      <c r="E237" s="279">
        <v>0.3</v>
      </c>
      <c r="F237" s="329">
        <v>299.69</v>
      </c>
      <c r="G237" s="343">
        <v>299.69</v>
      </c>
      <c r="H237" s="331">
        <v>599.38</v>
      </c>
      <c r="I237" s="321"/>
      <c r="J237" s="321"/>
      <c r="K237" s="321"/>
      <c r="L237" s="321"/>
      <c r="M237" s="321"/>
      <c r="N237" s="321"/>
      <c r="O237" s="321"/>
    </row>
    <row r="238" spans="1:15" s="137" customFormat="1" ht="58.5" customHeight="1">
      <c r="A238" s="145" t="s">
        <v>362</v>
      </c>
      <c r="B238" s="159"/>
      <c r="C238" s="160" t="s">
        <v>302</v>
      </c>
      <c r="D238" s="161" t="s">
        <v>7</v>
      </c>
      <c r="E238" s="281"/>
      <c r="F238" s="337">
        <v>12.3</v>
      </c>
      <c r="G238" s="336">
        <v>12.3</v>
      </c>
      <c r="H238" s="326">
        <v>24.6</v>
      </c>
      <c r="I238" s="321"/>
      <c r="J238" s="321"/>
      <c r="K238" s="321">
        <f>I238+J238</f>
        <v>0</v>
      </c>
      <c r="L238" s="321">
        <f>H238*I238</f>
        <v>0</v>
      </c>
      <c r="M238" s="321">
        <f>H238*J238</f>
        <v>0</v>
      </c>
      <c r="N238" s="321">
        <f>SUM(L238:M238)</f>
        <v>0</v>
      </c>
      <c r="O238" s="321"/>
    </row>
    <row r="239" spans="1:15" s="137" customFormat="1" ht="21" customHeight="1">
      <c r="A239" s="149"/>
      <c r="B239" s="150"/>
      <c r="C239" s="151" t="s">
        <v>164</v>
      </c>
      <c r="D239" s="152" t="s">
        <v>21</v>
      </c>
      <c r="E239" s="279">
        <v>0.15</v>
      </c>
      <c r="F239" s="329">
        <v>0.16</v>
      </c>
      <c r="G239" s="330">
        <v>0.16</v>
      </c>
      <c r="H239" s="331">
        <v>0.32</v>
      </c>
      <c r="I239" s="321"/>
      <c r="J239" s="321"/>
      <c r="K239" s="321"/>
      <c r="L239" s="321"/>
      <c r="M239" s="321"/>
      <c r="N239" s="321"/>
      <c r="O239" s="321"/>
    </row>
    <row r="240" spans="1:15" s="137" customFormat="1" ht="21" customHeight="1">
      <c r="A240" s="149"/>
      <c r="B240" s="150"/>
      <c r="C240" s="151" t="s">
        <v>166</v>
      </c>
      <c r="D240" s="152" t="s">
        <v>8</v>
      </c>
      <c r="E240" s="279">
        <v>8.4</v>
      </c>
      <c r="F240" s="329">
        <v>8.82</v>
      </c>
      <c r="G240" s="330">
        <v>8.82</v>
      </c>
      <c r="H240" s="331">
        <v>17.64</v>
      </c>
      <c r="I240" s="321"/>
      <c r="J240" s="321"/>
      <c r="K240" s="321"/>
      <c r="L240" s="321"/>
      <c r="M240" s="321"/>
      <c r="N240" s="321"/>
      <c r="O240" s="321"/>
    </row>
    <row r="241" spans="1:15" s="137" customFormat="1" ht="21" customHeight="1">
      <c r="A241" s="149"/>
      <c r="B241" s="150"/>
      <c r="C241" s="151" t="s">
        <v>201</v>
      </c>
      <c r="D241" s="152" t="s">
        <v>8</v>
      </c>
      <c r="E241" s="279">
        <v>1.2</v>
      </c>
      <c r="F241" s="329">
        <v>1.26</v>
      </c>
      <c r="G241" s="330">
        <v>1.26</v>
      </c>
      <c r="H241" s="331">
        <v>2.52</v>
      </c>
      <c r="I241" s="321"/>
      <c r="J241" s="321"/>
      <c r="K241" s="321"/>
      <c r="L241" s="321"/>
      <c r="M241" s="321"/>
      <c r="N241" s="321"/>
      <c r="O241" s="321"/>
    </row>
    <row r="242" spans="1:15" s="137" customFormat="1" ht="21" customHeight="1">
      <c r="A242" s="149"/>
      <c r="B242" s="150"/>
      <c r="C242" s="151" t="s">
        <v>202</v>
      </c>
      <c r="D242" s="162" t="s">
        <v>8</v>
      </c>
      <c r="E242" s="282">
        <v>2</v>
      </c>
      <c r="F242" s="329">
        <v>2.1</v>
      </c>
      <c r="G242" s="330">
        <v>2.1</v>
      </c>
      <c r="H242" s="331">
        <v>4.2</v>
      </c>
      <c r="I242" s="321"/>
      <c r="J242" s="321"/>
      <c r="K242" s="321"/>
      <c r="L242" s="321"/>
      <c r="M242" s="321"/>
      <c r="N242" s="321"/>
      <c r="O242" s="321"/>
    </row>
    <row r="243" spans="1:15" s="137" customFormat="1" ht="27" customHeight="1">
      <c r="A243" s="143" t="s">
        <v>258</v>
      </c>
      <c r="B243" s="144"/>
      <c r="C243" s="131" t="s">
        <v>345</v>
      </c>
      <c r="D243" s="132"/>
      <c r="E243" s="277"/>
      <c r="F243" s="324"/>
      <c r="G243" s="324"/>
      <c r="H243" s="324"/>
      <c r="I243" s="321"/>
      <c r="J243" s="321"/>
      <c r="K243" s="321"/>
      <c r="L243" s="321"/>
      <c r="M243" s="321"/>
      <c r="N243" s="321"/>
      <c r="O243" s="321"/>
    </row>
    <row r="244" spans="1:15" s="137" customFormat="1" ht="19.5" customHeight="1">
      <c r="A244" s="145" t="s">
        <v>346</v>
      </c>
      <c r="B244" s="159"/>
      <c r="C244" s="147" t="s">
        <v>326</v>
      </c>
      <c r="D244" s="148" t="s">
        <v>7</v>
      </c>
      <c r="E244" s="278"/>
      <c r="F244" s="337">
        <v>32.97</v>
      </c>
      <c r="G244" s="336">
        <v>32.97</v>
      </c>
      <c r="H244" s="326">
        <v>65.94</v>
      </c>
      <c r="I244" s="320"/>
      <c r="J244" s="321"/>
      <c r="K244" s="321">
        <f>I244+J244</f>
        <v>0</v>
      </c>
      <c r="L244" s="321">
        <f>H244*I244</f>
        <v>0</v>
      </c>
      <c r="M244" s="321">
        <f>H244*J244</f>
        <v>0</v>
      </c>
      <c r="N244" s="321">
        <f>SUM(L244:M244)</f>
        <v>0</v>
      </c>
      <c r="O244" s="321"/>
    </row>
    <row r="245" spans="1:15" s="137" customFormat="1" ht="19.5" customHeight="1">
      <c r="A245" s="149"/>
      <c r="B245" s="150"/>
      <c r="C245" s="151" t="s">
        <v>324</v>
      </c>
      <c r="D245" s="162" t="s">
        <v>7</v>
      </c>
      <c r="E245" s="282">
        <v>2.2599999999999998</v>
      </c>
      <c r="F245" s="338">
        <v>74.510000000000005</v>
      </c>
      <c r="G245" s="339">
        <v>74.510000000000005</v>
      </c>
      <c r="H245" s="340">
        <v>149.02000000000001</v>
      </c>
      <c r="I245" s="321"/>
      <c r="J245" s="321"/>
      <c r="K245" s="321"/>
      <c r="L245" s="321"/>
      <c r="M245" s="321"/>
      <c r="N245" s="321"/>
      <c r="O245" s="321"/>
    </row>
    <row r="246" spans="1:15" s="137" customFormat="1" ht="19.5" customHeight="1">
      <c r="A246" s="149"/>
      <c r="B246" s="150"/>
      <c r="C246" s="151" t="s">
        <v>204</v>
      </c>
      <c r="D246" s="162" t="s">
        <v>18</v>
      </c>
      <c r="E246" s="282">
        <v>0.76</v>
      </c>
      <c r="F246" s="338">
        <v>25.06</v>
      </c>
      <c r="G246" s="339">
        <v>25.06</v>
      </c>
      <c r="H246" s="331">
        <v>50.12</v>
      </c>
      <c r="I246" s="321"/>
      <c r="J246" s="321"/>
      <c r="K246" s="321"/>
      <c r="L246" s="321"/>
      <c r="M246" s="321"/>
      <c r="N246" s="321"/>
      <c r="O246" s="321"/>
    </row>
    <row r="247" spans="1:15" s="137" customFormat="1" ht="19.5" customHeight="1">
      <c r="A247" s="149"/>
      <c r="B247" s="150"/>
      <c r="C247" s="151" t="s">
        <v>205</v>
      </c>
      <c r="D247" s="162" t="s">
        <v>18</v>
      </c>
      <c r="E247" s="282">
        <v>2</v>
      </c>
      <c r="F247" s="338">
        <v>65.94</v>
      </c>
      <c r="G247" s="339">
        <v>65.94</v>
      </c>
      <c r="H247" s="331">
        <v>131.88</v>
      </c>
      <c r="I247" s="321"/>
      <c r="J247" s="321"/>
      <c r="K247" s="321"/>
      <c r="L247" s="321"/>
      <c r="M247" s="321"/>
      <c r="N247" s="321"/>
      <c r="O247" s="321"/>
    </row>
    <row r="248" spans="1:15" s="137" customFormat="1" ht="19.5" customHeight="1">
      <c r="A248" s="145" t="s">
        <v>347</v>
      </c>
      <c r="B248" s="159"/>
      <c r="C248" s="147" t="s">
        <v>325</v>
      </c>
      <c r="D248" s="148" t="s">
        <v>7</v>
      </c>
      <c r="E248" s="278"/>
      <c r="F248" s="337">
        <v>111.48</v>
      </c>
      <c r="G248" s="336">
        <v>111.48</v>
      </c>
      <c r="H248" s="326">
        <v>222.96</v>
      </c>
      <c r="I248" s="321"/>
      <c r="J248" s="321"/>
      <c r="K248" s="321">
        <f>I248+J248</f>
        <v>0</v>
      </c>
      <c r="L248" s="321">
        <f>H248*I248</f>
        <v>0</v>
      </c>
      <c r="M248" s="321">
        <f>H248*J248</f>
        <v>0</v>
      </c>
      <c r="N248" s="321">
        <f>SUM(L248:M248)</f>
        <v>0</v>
      </c>
      <c r="O248" s="321"/>
    </row>
    <row r="249" spans="1:15" s="137" customFormat="1" ht="19.5" customHeight="1">
      <c r="A249" s="149"/>
      <c r="B249" s="150"/>
      <c r="C249" s="151" t="s">
        <v>324</v>
      </c>
      <c r="D249" s="162" t="s">
        <v>7</v>
      </c>
      <c r="E249" s="285">
        <v>2.2599999999999998</v>
      </c>
      <c r="F249" s="338">
        <v>251.94</v>
      </c>
      <c r="G249" s="339">
        <v>251.94</v>
      </c>
      <c r="H249" s="340">
        <v>503.88</v>
      </c>
      <c r="I249" s="321"/>
      <c r="J249" s="321"/>
      <c r="K249" s="321"/>
      <c r="L249" s="321"/>
      <c r="M249" s="321"/>
      <c r="N249" s="321"/>
      <c r="O249" s="321"/>
    </row>
    <row r="250" spans="1:15" s="137" customFormat="1" ht="19.5" customHeight="1">
      <c r="A250" s="149"/>
      <c r="B250" s="150"/>
      <c r="C250" s="151" t="s">
        <v>204</v>
      </c>
      <c r="D250" s="162" t="s">
        <v>18</v>
      </c>
      <c r="E250" s="282">
        <v>0.76</v>
      </c>
      <c r="F250" s="338">
        <v>84.72</v>
      </c>
      <c r="G250" s="339">
        <v>84.72</v>
      </c>
      <c r="H250" s="331">
        <v>169.44</v>
      </c>
      <c r="I250" s="321"/>
      <c r="J250" s="321"/>
      <c r="K250" s="321"/>
      <c r="L250" s="321"/>
      <c r="M250" s="321"/>
      <c r="N250" s="321"/>
      <c r="O250" s="321"/>
    </row>
    <row r="251" spans="1:15" s="137" customFormat="1" ht="19.5" customHeight="1">
      <c r="A251" s="149"/>
      <c r="B251" s="150"/>
      <c r="C251" s="151" t="s">
        <v>205</v>
      </c>
      <c r="D251" s="162" t="s">
        <v>18</v>
      </c>
      <c r="E251" s="282">
        <v>2</v>
      </c>
      <c r="F251" s="338">
        <v>222.96</v>
      </c>
      <c r="G251" s="339">
        <v>222.96</v>
      </c>
      <c r="H251" s="331">
        <v>445.92</v>
      </c>
      <c r="I251" s="321"/>
      <c r="J251" s="321"/>
      <c r="K251" s="321"/>
      <c r="L251" s="321"/>
      <c r="M251" s="321"/>
      <c r="N251" s="321"/>
      <c r="O251" s="321"/>
    </row>
    <row r="252" spans="1:15" s="137" customFormat="1" ht="43.5" customHeight="1">
      <c r="A252" s="145" t="s">
        <v>348</v>
      </c>
      <c r="B252" s="159"/>
      <c r="C252" s="160" t="s">
        <v>163</v>
      </c>
      <c r="D252" s="161" t="s">
        <v>7</v>
      </c>
      <c r="E252" s="281"/>
      <c r="F252" s="337">
        <v>50.04</v>
      </c>
      <c r="G252" s="336">
        <v>50.04</v>
      </c>
      <c r="H252" s="326">
        <v>100.08</v>
      </c>
      <c r="I252" s="321"/>
      <c r="J252" s="321"/>
      <c r="K252" s="321">
        <f>I252+J252</f>
        <v>0</v>
      </c>
      <c r="L252" s="321">
        <f>H252*I252</f>
        <v>0</v>
      </c>
      <c r="M252" s="321">
        <f>H252*J252</f>
        <v>0</v>
      </c>
      <c r="N252" s="321">
        <f>SUM(L252:M252)</f>
        <v>0</v>
      </c>
      <c r="O252" s="321"/>
    </row>
    <row r="253" spans="1:15" s="137" customFormat="1" ht="19.5" customHeight="1">
      <c r="A253" s="149"/>
      <c r="B253" s="150"/>
      <c r="C253" s="151" t="s">
        <v>164</v>
      </c>
      <c r="D253" s="162" t="s">
        <v>21</v>
      </c>
      <c r="E253" s="282">
        <v>0.15</v>
      </c>
      <c r="F253" s="338">
        <v>7.51</v>
      </c>
      <c r="G253" s="339">
        <v>7.51</v>
      </c>
      <c r="H253" s="331">
        <v>15.02</v>
      </c>
      <c r="I253" s="321"/>
      <c r="J253" s="321"/>
      <c r="K253" s="321"/>
      <c r="L253" s="321"/>
      <c r="M253" s="321"/>
      <c r="N253" s="321"/>
      <c r="O253" s="321"/>
    </row>
    <row r="254" spans="1:15" s="137" customFormat="1" ht="19.5" customHeight="1">
      <c r="A254" s="149"/>
      <c r="B254" s="150"/>
      <c r="C254" s="151" t="s">
        <v>166</v>
      </c>
      <c r="D254" s="162" t="s">
        <v>8</v>
      </c>
      <c r="E254" s="279">
        <v>8.4</v>
      </c>
      <c r="F254" s="338">
        <v>420.34</v>
      </c>
      <c r="G254" s="339">
        <v>420.34</v>
      </c>
      <c r="H254" s="331">
        <v>840.68</v>
      </c>
      <c r="I254" s="321"/>
      <c r="J254" s="321"/>
      <c r="K254" s="321"/>
      <c r="L254" s="321"/>
      <c r="M254" s="321"/>
      <c r="N254" s="321"/>
      <c r="O254" s="321"/>
    </row>
    <row r="255" spans="1:15" s="137" customFormat="1" ht="27.75" customHeight="1">
      <c r="A255" s="145" t="s">
        <v>349</v>
      </c>
      <c r="B255" s="159"/>
      <c r="C255" s="160" t="s">
        <v>168</v>
      </c>
      <c r="D255" s="161" t="s">
        <v>7</v>
      </c>
      <c r="E255" s="281"/>
      <c r="F255" s="337">
        <v>1677.91</v>
      </c>
      <c r="G255" s="336">
        <v>1659.33</v>
      </c>
      <c r="H255" s="326">
        <v>3337.24</v>
      </c>
      <c r="I255" s="321"/>
      <c r="J255" s="321"/>
      <c r="K255" s="321">
        <f>I255+J255</f>
        <v>0</v>
      </c>
      <c r="L255" s="321">
        <f>H255*I255</f>
        <v>0</v>
      </c>
      <c r="M255" s="321">
        <f>H255*J255</f>
        <v>0</v>
      </c>
      <c r="N255" s="321">
        <f>SUM(L255:M255)</f>
        <v>0</v>
      </c>
      <c r="O255" s="321"/>
    </row>
    <row r="256" spans="1:15" s="137" customFormat="1" ht="19.5" customHeight="1">
      <c r="A256" s="149"/>
      <c r="B256" s="150"/>
      <c r="C256" s="151" t="s">
        <v>201</v>
      </c>
      <c r="D256" s="162" t="s">
        <v>8</v>
      </c>
      <c r="E256" s="282">
        <v>2.4</v>
      </c>
      <c r="F256" s="338">
        <v>4026.98</v>
      </c>
      <c r="G256" s="339">
        <v>3982.39</v>
      </c>
      <c r="H256" s="331">
        <v>8009.37</v>
      </c>
      <c r="I256" s="321"/>
      <c r="J256" s="321"/>
      <c r="K256" s="321"/>
      <c r="L256" s="321"/>
      <c r="M256" s="321"/>
      <c r="N256" s="321"/>
      <c r="O256" s="321"/>
    </row>
    <row r="257" spans="1:15" s="137" customFormat="1" ht="27" customHeight="1">
      <c r="A257" s="145" t="s">
        <v>350</v>
      </c>
      <c r="B257" s="159"/>
      <c r="C257" s="160" t="s">
        <v>167</v>
      </c>
      <c r="D257" s="161" t="s">
        <v>7</v>
      </c>
      <c r="E257" s="281"/>
      <c r="F257" s="337">
        <v>831.48</v>
      </c>
      <c r="G257" s="336">
        <v>831.48</v>
      </c>
      <c r="H257" s="326">
        <v>1662.96</v>
      </c>
      <c r="I257" s="341"/>
      <c r="J257" s="321"/>
      <c r="K257" s="321">
        <f>I257+J257</f>
        <v>0</v>
      </c>
      <c r="L257" s="321">
        <f>H257*I257</f>
        <v>0</v>
      </c>
      <c r="M257" s="321">
        <f>H257*J257</f>
        <v>0</v>
      </c>
      <c r="N257" s="321">
        <f>SUM(L257:M257)</f>
        <v>0</v>
      </c>
      <c r="O257" s="321"/>
    </row>
    <row r="258" spans="1:15" s="137" customFormat="1" ht="19.5" customHeight="1">
      <c r="A258" s="149"/>
      <c r="B258" s="150"/>
      <c r="C258" s="151" t="s">
        <v>201</v>
      </c>
      <c r="D258" s="162" t="s">
        <v>8</v>
      </c>
      <c r="E258" s="282">
        <v>3.15</v>
      </c>
      <c r="F258" s="338">
        <v>2619.16</v>
      </c>
      <c r="G258" s="339">
        <v>2619.16</v>
      </c>
      <c r="H258" s="331">
        <v>5238.32</v>
      </c>
      <c r="I258" s="321"/>
      <c r="J258" s="321"/>
      <c r="K258" s="321"/>
      <c r="L258" s="321"/>
      <c r="M258" s="321"/>
      <c r="N258" s="321"/>
      <c r="O258" s="321"/>
    </row>
    <row r="259" spans="1:15" s="137" customFormat="1" ht="27" customHeight="1">
      <c r="A259" s="145" t="s">
        <v>351</v>
      </c>
      <c r="B259" s="159"/>
      <c r="C259" s="160" t="s">
        <v>307</v>
      </c>
      <c r="D259" s="161" t="s">
        <v>7</v>
      </c>
      <c r="E259" s="281"/>
      <c r="F259" s="337">
        <v>144.44999999999999</v>
      </c>
      <c r="G259" s="336">
        <v>144.44999999999999</v>
      </c>
      <c r="H259" s="326">
        <v>288.89999999999998</v>
      </c>
      <c r="I259" s="321"/>
      <c r="J259" s="321"/>
      <c r="K259" s="321">
        <f>I259+J259</f>
        <v>0</v>
      </c>
      <c r="L259" s="321">
        <f>H259*I259</f>
        <v>0</v>
      </c>
      <c r="M259" s="321">
        <f>H259*J259</f>
        <v>0</v>
      </c>
      <c r="N259" s="321">
        <f>SUM(L259:M259)</f>
        <v>0</v>
      </c>
      <c r="O259" s="321"/>
    </row>
    <row r="260" spans="1:15" s="137" customFormat="1" ht="19.5" customHeight="1">
      <c r="A260" s="149"/>
      <c r="B260" s="150"/>
      <c r="C260" s="151" t="s">
        <v>164</v>
      </c>
      <c r="D260" s="162" t="s">
        <v>21</v>
      </c>
      <c r="E260" s="282">
        <v>0.1</v>
      </c>
      <c r="F260" s="338">
        <v>14.45</v>
      </c>
      <c r="G260" s="339">
        <v>14.45</v>
      </c>
      <c r="H260" s="331">
        <v>28.9</v>
      </c>
      <c r="I260" s="321"/>
      <c r="J260" s="321"/>
      <c r="K260" s="321"/>
      <c r="L260" s="321"/>
      <c r="M260" s="321"/>
      <c r="N260" s="321"/>
      <c r="O260" s="321"/>
    </row>
    <row r="261" spans="1:15" s="137" customFormat="1" ht="19.5" customHeight="1">
      <c r="A261" s="149"/>
      <c r="B261" s="150"/>
      <c r="C261" s="151" t="s">
        <v>201</v>
      </c>
      <c r="D261" s="162" t="s">
        <v>8</v>
      </c>
      <c r="E261" s="285">
        <v>0.46</v>
      </c>
      <c r="F261" s="338">
        <v>66.45</v>
      </c>
      <c r="G261" s="339">
        <v>66.45</v>
      </c>
      <c r="H261" s="331">
        <v>132.9</v>
      </c>
      <c r="I261" s="321"/>
      <c r="J261" s="321"/>
      <c r="K261" s="321"/>
      <c r="L261" s="321"/>
      <c r="M261" s="321"/>
      <c r="N261" s="321"/>
      <c r="O261" s="321"/>
    </row>
    <row r="262" spans="1:15" s="137" customFormat="1" ht="32.25" customHeight="1">
      <c r="A262" s="145" t="s">
        <v>352</v>
      </c>
      <c r="B262" s="159"/>
      <c r="C262" s="160" t="s">
        <v>194</v>
      </c>
      <c r="D262" s="161" t="s">
        <v>7</v>
      </c>
      <c r="E262" s="281"/>
      <c r="F262" s="337">
        <v>2703.88</v>
      </c>
      <c r="G262" s="336">
        <v>2685.3</v>
      </c>
      <c r="H262" s="326">
        <v>5389.18</v>
      </c>
      <c r="I262" s="321"/>
      <c r="J262" s="321"/>
      <c r="K262" s="321">
        <f>I262+J262</f>
        <v>0</v>
      </c>
      <c r="L262" s="321">
        <f>H262*I262</f>
        <v>0</v>
      </c>
      <c r="M262" s="321">
        <f>H262*J262</f>
        <v>0</v>
      </c>
      <c r="N262" s="321">
        <f>SUM(L262:M262)</f>
        <v>0</v>
      </c>
      <c r="O262" s="321"/>
    </row>
    <row r="263" spans="1:15" s="137" customFormat="1" ht="19.5" customHeight="1">
      <c r="A263" s="149"/>
      <c r="B263" s="150"/>
      <c r="C263" s="151" t="s">
        <v>323</v>
      </c>
      <c r="D263" s="162" t="s">
        <v>8</v>
      </c>
      <c r="E263" s="282">
        <v>2</v>
      </c>
      <c r="F263" s="338">
        <v>5407.76</v>
      </c>
      <c r="G263" s="339">
        <v>5370.6</v>
      </c>
      <c r="H263" s="331">
        <v>10778.36</v>
      </c>
      <c r="I263" s="321"/>
      <c r="J263" s="321"/>
      <c r="K263" s="321"/>
      <c r="L263" s="321"/>
      <c r="M263" s="321"/>
      <c r="N263" s="321"/>
      <c r="O263" s="321"/>
    </row>
    <row r="264" spans="1:15" s="137" customFormat="1" ht="58.5" customHeight="1">
      <c r="A264" s="145" t="s">
        <v>353</v>
      </c>
      <c r="B264" s="159"/>
      <c r="C264" s="160" t="s">
        <v>360</v>
      </c>
      <c r="D264" s="161" t="s">
        <v>7</v>
      </c>
      <c r="E264" s="281"/>
      <c r="F264" s="337">
        <v>22.18</v>
      </c>
      <c r="G264" s="336">
        <v>22.18</v>
      </c>
      <c r="H264" s="326">
        <v>44.36</v>
      </c>
      <c r="I264" s="321"/>
      <c r="J264" s="321"/>
      <c r="K264" s="321">
        <f>I264+J264</f>
        <v>0</v>
      </c>
      <c r="L264" s="321">
        <f>H264*I264</f>
        <v>0</v>
      </c>
      <c r="M264" s="321">
        <f>H264*J264</f>
        <v>0</v>
      </c>
      <c r="N264" s="321">
        <f>SUM(L264:M264)</f>
        <v>0</v>
      </c>
      <c r="O264" s="321"/>
    </row>
    <row r="265" spans="1:15" s="137" customFormat="1" ht="19.5" customHeight="1">
      <c r="A265" s="149"/>
      <c r="B265" s="150"/>
      <c r="C265" s="151" t="s">
        <v>203</v>
      </c>
      <c r="D265" s="152" t="s">
        <v>7</v>
      </c>
      <c r="E265" s="279">
        <v>1.1299999999999999</v>
      </c>
      <c r="F265" s="338">
        <v>25.06</v>
      </c>
      <c r="G265" s="339">
        <v>25.06</v>
      </c>
      <c r="H265" s="331">
        <v>50.12</v>
      </c>
      <c r="I265" s="321"/>
      <c r="J265" s="321"/>
      <c r="K265" s="321"/>
      <c r="L265" s="321"/>
      <c r="M265" s="321"/>
      <c r="N265" s="321"/>
      <c r="O265" s="321"/>
    </row>
    <row r="266" spans="1:15" s="137" customFormat="1" ht="19.5" customHeight="1">
      <c r="A266" s="149"/>
      <c r="B266" s="150"/>
      <c r="C266" s="151" t="s">
        <v>358</v>
      </c>
      <c r="D266" s="152" t="s">
        <v>8</v>
      </c>
      <c r="E266" s="279">
        <v>1</v>
      </c>
      <c r="F266" s="338">
        <v>22.18</v>
      </c>
      <c r="G266" s="339">
        <v>22.18</v>
      </c>
      <c r="H266" s="331">
        <v>44.36</v>
      </c>
      <c r="I266" s="321"/>
      <c r="J266" s="321"/>
      <c r="K266" s="321"/>
      <c r="L266" s="321"/>
      <c r="M266" s="321"/>
      <c r="N266" s="321"/>
      <c r="O266" s="321"/>
    </row>
    <row r="267" spans="1:15" s="137" customFormat="1" ht="19.5" customHeight="1">
      <c r="A267" s="149"/>
      <c r="B267" s="150"/>
      <c r="C267" s="163" t="s">
        <v>359</v>
      </c>
      <c r="D267" s="164" t="s">
        <v>22</v>
      </c>
      <c r="E267" s="283">
        <v>0.05</v>
      </c>
      <c r="F267" s="338">
        <v>1.1299999999999999</v>
      </c>
      <c r="G267" s="339">
        <v>1.1299999999999999</v>
      </c>
      <c r="H267" s="331">
        <v>2.2599999999999998</v>
      </c>
      <c r="I267" s="321"/>
      <c r="J267" s="321"/>
      <c r="K267" s="321"/>
      <c r="L267" s="321"/>
      <c r="M267" s="321"/>
      <c r="N267" s="321"/>
      <c r="O267" s="321"/>
    </row>
    <row r="268" spans="1:15" s="137" customFormat="1" ht="19.5" customHeight="1">
      <c r="A268" s="149"/>
      <c r="B268" s="150"/>
      <c r="C268" s="151" t="s">
        <v>201</v>
      </c>
      <c r="D268" s="152" t="s">
        <v>8</v>
      </c>
      <c r="E268" s="279">
        <v>1.2</v>
      </c>
      <c r="F268" s="338">
        <v>26.62</v>
      </c>
      <c r="G268" s="339">
        <v>26.62</v>
      </c>
      <c r="H268" s="331">
        <v>53.24</v>
      </c>
      <c r="I268" s="321"/>
      <c r="J268" s="321"/>
      <c r="K268" s="321"/>
      <c r="L268" s="321"/>
      <c r="M268" s="321"/>
      <c r="N268" s="321"/>
      <c r="O268" s="321"/>
    </row>
    <row r="269" spans="1:15" s="137" customFormat="1" ht="19.5" customHeight="1">
      <c r="A269" s="149"/>
      <c r="B269" s="150"/>
      <c r="C269" s="151" t="s">
        <v>188</v>
      </c>
      <c r="D269" s="152" t="s">
        <v>8</v>
      </c>
      <c r="E269" s="284">
        <v>0.2</v>
      </c>
      <c r="F269" s="338">
        <v>4.4400000000000004</v>
      </c>
      <c r="G269" s="339">
        <v>4.4400000000000004</v>
      </c>
      <c r="H269" s="331">
        <v>8.8800000000000008</v>
      </c>
      <c r="I269" s="321"/>
      <c r="J269" s="321"/>
      <c r="K269" s="321"/>
      <c r="L269" s="321"/>
      <c r="M269" s="321"/>
      <c r="N269" s="321"/>
      <c r="O269" s="321"/>
    </row>
    <row r="270" spans="1:15" s="137" customFormat="1" ht="69" customHeight="1">
      <c r="A270" s="145" t="s">
        <v>354</v>
      </c>
      <c r="B270" s="159"/>
      <c r="C270" s="160" t="s">
        <v>355</v>
      </c>
      <c r="D270" s="161" t="s">
        <v>7</v>
      </c>
      <c r="E270" s="281"/>
      <c r="F270" s="337">
        <v>10.73</v>
      </c>
      <c r="G270" s="336">
        <v>10.73</v>
      </c>
      <c r="H270" s="326">
        <v>21.46</v>
      </c>
      <c r="I270" s="321"/>
      <c r="J270" s="321"/>
      <c r="K270" s="321">
        <f>I270+J270</f>
        <v>0</v>
      </c>
      <c r="L270" s="321">
        <f>H270*I270</f>
        <v>0</v>
      </c>
      <c r="M270" s="321">
        <f>H270*J270</f>
        <v>0</v>
      </c>
      <c r="N270" s="321">
        <f>SUM(L270:M270)</f>
        <v>0</v>
      </c>
      <c r="O270" s="321"/>
    </row>
    <row r="271" spans="1:15" s="137" customFormat="1" ht="19.5" customHeight="1">
      <c r="A271" s="149"/>
      <c r="B271" s="150"/>
      <c r="C271" s="151" t="s">
        <v>164</v>
      </c>
      <c r="D271" s="152" t="s">
        <v>21</v>
      </c>
      <c r="E271" s="279">
        <v>0.15</v>
      </c>
      <c r="F271" s="338">
        <v>1.61</v>
      </c>
      <c r="G271" s="339">
        <v>1.61</v>
      </c>
      <c r="H271" s="331">
        <v>3.22</v>
      </c>
      <c r="I271" s="321"/>
      <c r="J271" s="321"/>
      <c r="K271" s="321"/>
      <c r="L271" s="321"/>
      <c r="M271" s="321"/>
      <c r="N271" s="321"/>
      <c r="O271" s="321"/>
    </row>
    <row r="272" spans="1:15" s="137" customFormat="1" ht="19.5" customHeight="1">
      <c r="A272" s="149"/>
      <c r="B272" s="150"/>
      <c r="C272" s="151" t="s">
        <v>166</v>
      </c>
      <c r="D272" s="152" t="s">
        <v>8</v>
      </c>
      <c r="E272" s="279">
        <v>8.4</v>
      </c>
      <c r="F272" s="338">
        <v>90.13</v>
      </c>
      <c r="G272" s="339">
        <v>90.13</v>
      </c>
      <c r="H272" s="331">
        <v>180.26</v>
      </c>
      <c r="I272" s="321"/>
      <c r="J272" s="321"/>
      <c r="K272" s="321"/>
      <c r="L272" s="321"/>
      <c r="M272" s="321"/>
      <c r="N272" s="321"/>
      <c r="O272" s="321"/>
    </row>
    <row r="273" spans="1:15" s="137" customFormat="1" ht="19.5" customHeight="1">
      <c r="A273" s="149"/>
      <c r="B273" s="150"/>
      <c r="C273" s="151" t="s">
        <v>201</v>
      </c>
      <c r="D273" s="152" t="s">
        <v>8</v>
      </c>
      <c r="E273" s="279">
        <v>1.2</v>
      </c>
      <c r="F273" s="338">
        <v>12.88</v>
      </c>
      <c r="G273" s="339">
        <v>12.88</v>
      </c>
      <c r="H273" s="331">
        <v>25.76</v>
      </c>
      <c r="I273" s="321"/>
      <c r="J273" s="321"/>
      <c r="K273" s="321"/>
      <c r="L273" s="321"/>
      <c r="M273" s="321"/>
      <c r="N273" s="321"/>
      <c r="O273" s="321"/>
    </row>
    <row r="274" spans="1:15" s="137" customFormat="1" ht="19.5" customHeight="1">
      <c r="A274" s="149"/>
      <c r="B274" s="150"/>
      <c r="C274" s="151" t="s">
        <v>202</v>
      </c>
      <c r="D274" s="162" t="s">
        <v>8</v>
      </c>
      <c r="E274" s="282">
        <v>2</v>
      </c>
      <c r="F274" s="338">
        <v>21.46</v>
      </c>
      <c r="G274" s="339">
        <v>21.46</v>
      </c>
      <c r="H274" s="331">
        <v>42.92</v>
      </c>
      <c r="I274" s="321"/>
      <c r="J274" s="321"/>
      <c r="K274" s="321"/>
      <c r="L274" s="321"/>
      <c r="M274" s="321"/>
      <c r="N274" s="321"/>
      <c r="O274" s="321"/>
    </row>
    <row r="275" spans="1:15" s="137" customFormat="1" ht="27" customHeight="1">
      <c r="A275" s="155" t="s">
        <v>259</v>
      </c>
      <c r="B275" s="156"/>
      <c r="C275" s="157" t="s">
        <v>26</v>
      </c>
      <c r="D275" s="158"/>
      <c r="E275" s="280"/>
      <c r="F275" s="334"/>
      <c r="G275" s="334"/>
      <c r="H275" s="334"/>
      <c r="I275" s="321"/>
      <c r="J275" s="321"/>
      <c r="K275" s="321"/>
      <c r="L275" s="321"/>
      <c r="M275" s="321"/>
      <c r="N275" s="321"/>
      <c r="O275" s="321"/>
    </row>
    <row r="276" spans="1:15" s="137" customFormat="1" ht="24" customHeight="1">
      <c r="A276" s="143" t="s">
        <v>260</v>
      </c>
      <c r="B276" s="144"/>
      <c r="C276" s="131" t="s">
        <v>25</v>
      </c>
      <c r="D276" s="132"/>
      <c r="E276" s="277"/>
      <c r="F276" s="324"/>
      <c r="G276" s="324"/>
      <c r="H276" s="324"/>
      <c r="I276" s="327"/>
      <c r="J276" s="321"/>
      <c r="K276" s="321"/>
      <c r="L276" s="321"/>
      <c r="M276" s="321"/>
      <c r="N276" s="321"/>
      <c r="O276" s="321"/>
    </row>
    <row r="277" spans="1:15" ht="24" customHeight="1">
      <c r="A277" s="145" t="s">
        <v>261</v>
      </c>
      <c r="B277" s="159"/>
      <c r="C277" s="147" t="s">
        <v>69</v>
      </c>
      <c r="D277" s="161" t="s">
        <v>7</v>
      </c>
      <c r="E277" s="281"/>
      <c r="F277" s="335">
        <v>312.14</v>
      </c>
      <c r="G277" s="336">
        <v>334.4</v>
      </c>
      <c r="H277" s="326">
        <v>646.54</v>
      </c>
      <c r="I277" s="321"/>
      <c r="J277" s="328"/>
      <c r="K277" s="342">
        <f>I277+J277</f>
        <v>0</v>
      </c>
      <c r="L277" s="342">
        <f>H277*I277</f>
        <v>0</v>
      </c>
      <c r="M277" s="342">
        <f>H277*J277</f>
        <v>0</v>
      </c>
      <c r="N277" s="328">
        <f>SUM(L277:M277)</f>
        <v>0</v>
      </c>
      <c r="O277" s="328"/>
    </row>
    <row r="278" spans="1:15" s="102" customFormat="1" ht="15.75" customHeight="1">
      <c r="A278" s="149"/>
      <c r="B278" s="150"/>
      <c r="C278" s="151" t="s">
        <v>203</v>
      </c>
      <c r="D278" s="152" t="s">
        <v>7</v>
      </c>
      <c r="E278" s="279">
        <v>1.1299999999999999</v>
      </c>
      <c r="F278" s="329">
        <v>352.72</v>
      </c>
      <c r="G278" s="330">
        <v>377.87</v>
      </c>
      <c r="H278" s="331">
        <v>730.59</v>
      </c>
      <c r="I278" s="321"/>
      <c r="J278" s="328"/>
      <c r="K278" s="328"/>
      <c r="L278" s="328"/>
      <c r="M278" s="328"/>
      <c r="N278" s="328"/>
      <c r="O278" s="328"/>
    </row>
    <row r="279" spans="1:15" s="102" customFormat="1" ht="15.75" customHeight="1">
      <c r="A279" s="149"/>
      <c r="B279" s="150"/>
      <c r="C279" s="151" t="s">
        <v>204</v>
      </c>
      <c r="D279" s="152" t="s">
        <v>18</v>
      </c>
      <c r="E279" s="282">
        <v>0.76</v>
      </c>
      <c r="F279" s="329">
        <v>237.23</v>
      </c>
      <c r="G279" s="330">
        <v>254.14</v>
      </c>
      <c r="H279" s="331">
        <v>491.37</v>
      </c>
      <c r="I279" s="321"/>
      <c r="J279" s="328"/>
      <c r="K279" s="328"/>
      <c r="L279" s="328"/>
      <c r="M279" s="328"/>
      <c r="N279" s="328"/>
      <c r="O279" s="328"/>
    </row>
    <row r="280" spans="1:15" s="102" customFormat="1" ht="15.75" customHeight="1">
      <c r="A280" s="149"/>
      <c r="B280" s="150"/>
      <c r="C280" s="151" t="s">
        <v>205</v>
      </c>
      <c r="D280" s="152" t="s">
        <v>18</v>
      </c>
      <c r="E280" s="282">
        <v>2</v>
      </c>
      <c r="F280" s="329">
        <v>624.28</v>
      </c>
      <c r="G280" s="330">
        <v>668.8</v>
      </c>
      <c r="H280" s="331">
        <v>1293.08</v>
      </c>
      <c r="I280" s="321"/>
      <c r="J280" s="328"/>
      <c r="K280" s="328"/>
      <c r="L280" s="328"/>
      <c r="M280" s="328"/>
      <c r="N280" s="328"/>
      <c r="O280" s="328"/>
    </row>
    <row r="281" spans="1:15" s="102" customFormat="1" ht="15.75" customHeight="1">
      <c r="A281" s="149"/>
      <c r="B281" s="150"/>
      <c r="C281" s="165" t="s">
        <v>327</v>
      </c>
      <c r="D281" s="166" t="s">
        <v>20</v>
      </c>
      <c r="E281" s="285">
        <v>1</v>
      </c>
      <c r="F281" s="329">
        <v>182</v>
      </c>
      <c r="G281" s="330">
        <v>182</v>
      </c>
      <c r="H281" s="331">
        <v>364</v>
      </c>
      <c r="I281" s="321"/>
      <c r="J281" s="328"/>
      <c r="K281" s="328"/>
      <c r="L281" s="328"/>
      <c r="M281" s="328"/>
      <c r="N281" s="328"/>
      <c r="O281" s="328"/>
    </row>
    <row r="282" spans="1:15" s="102" customFormat="1" ht="15.75" customHeight="1">
      <c r="A282" s="149"/>
      <c r="B282" s="150"/>
      <c r="C282" s="165" t="s">
        <v>206</v>
      </c>
      <c r="D282" s="166" t="s">
        <v>20</v>
      </c>
      <c r="E282" s="285">
        <v>1</v>
      </c>
      <c r="F282" s="329">
        <v>58</v>
      </c>
      <c r="G282" s="330">
        <v>57</v>
      </c>
      <c r="H282" s="331">
        <v>115</v>
      </c>
      <c r="I282" s="321"/>
      <c r="J282" s="328"/>
      <c r="K282" s="328"/>
      <c r="L282" s="328"/>
      <c r="M282" s="328"/>
      <c r="N282" s="328"/>
      <c r="O282" s="328"/>
    </row>
    <row r="283" spans="1:15" s="102" customFormat="1" ht="45.75" customHeight="1">
      <c r="A283" s="145" t="s">
        <v>262</v>
      </c>
      <c r="B283" s="159"/>
      <c r="C283" s="160" t="s">
        <v>175</v>
      </c>
      <c r="D283" s="161" t="s">
        <v>7</v>
      </c>
      <c r="E283" s="281"/>
      <c r="F283" s="337">
        <v>2350.2800000000002</v>
      </c>
      <c r="G283" s="336">
        <v>2140.6999999999998</v>
      </c>
      <c r="H283" s="326">
        <v>4490.9799999999996</v>
      </c>
      <c r="I283" s="321"/>
      <c r="J283" s="328"/>
      <c r="K283" s="328">
        <f>I283+J283</f>
        <v>0</v>
      </c>
      <c r="L283" s="328">
        <f>H283*I283</f>
        <v>0</v>
      </c>
      <c r="M283" s="328">
        <f>H283*J283</f>
        <v>0</v>
      </c>
      <c r="N283" s="328">
        <f>SUM(L283:M283)</f>
        <v>0</v>
      </c>
      <c r="O283" s="328"/>
    </row>
    <row r="284" spans="1:15" s="102" customFormat="1" ht="15.75" customHeight="1">
      <c r="A284" s="149"/>
      <c r="B284" s="150"/>
      <c r="C284" s="151" t="s">
        <v>164</v>
      </c>
      <c r="D284" s="152" t="s">
        <v>21</v>
      </c>
      <c r="E284" s="279">
        <v>0.15</v>
      </c>
      <c r="F284" s="329">
        <v>352.54</v>
      </c>
      <c r="G284" s="330">
        <v>321.11</v>
      </c>
      <c r="H284" s="331">
        <v>673.65</v>
      </c>
      <c r="I284" s="321"/>
      <c r="J284" s="328"/>
      <c r="K284" s="328"/>
      <c r="L284" s="328"/>
      <c r="M284" s="328"/>
      <c r="N284" s="328"/>
      <c r="O284" s="328"/>
    </row>
    <row r="285" spans="1:15" s="102" customFormat="1" ht="15.75" customHeight="1">
      <c r="A285" s="149"/>
      <c r="B285" s="150"/>
      <c r="C285" s="151" t="s">
        <v>176</v>
      </c>
      <c r="D285" s="152" t="s">
        <v>8</v>
      </c>
      <c r="E285" s="279">
        <v>17</v>
      </c>
      <c r="F285" s="329">
        <v>39954.76</v>
      </c>
      <c r="G285" s="330">
        <v>36391.9</v>
      </c>
      <c r="H285" s="331">
        <v>76346.66</v>
      </c>
      <c r="I285" s="321"/>
      <c r="J285" s="328"/>
      <c r="K285" s="328"/>
      <c r="L285" s="328"/>
      <c r="M285" s="328"/>
      <c r="N285" s="328"/>
      <c r="O285" s="328"/>
    </row>
    <row r="286" spans="1:15" s="102" customFormat="1" ht="50.25" customHeight="1">
      <c r="A286" s="145" t="s">
        <v>263</v>
      </c>
      <c r="B286" s="159"/>
      <c r="C286" s="160" t="s">
        <v>207</v>
      </c>
      <c r="D286" s="161" t="s">
        <v>7</v>
      </c>
      <c r="E286" s="281"/>
      <c r="F286" s="337">
        <v>1229.94</v>
      </c>
      <c r="G286" s="336">
        <v>1428.12</v>
      </c>
      <c r="H286" s="326">
        <v>2658.06</v>
      </c>
      <c r="I286" s="321"/>
      <c r="J286" s="328"/>
      <c r="K286" s="328">
        <f>I286+J286</f>
        <v>0</v>
      </c>
      <c r="L286" s="328">
        <f>H286*I286</f>
        <v>0</v>
      </c>
      <c r="M286" s="328">
        <f>H286*J286</f>
        <v>0</v>
      </c>
      <c r="N286" s="328">
        <f>SUM(L286:M286)</f>
        <v>0</v>
      </c>
      <c r="O286" s="328"/>
    </row>
    <row r="287" spans="1:15" s="102" customFormat="1" ht="15.75" customHeight="1">
      <c r="A287" s="149"/>
      <c r="B287" s="150"/>
      <c r="C287" s="151" t="s">
        <v>164</v>
      </c>
      <c r="D287" s="152" t="s">
        <v>21</v>
      </c>
      <c r="E287" s="279">
        <v>0.15</v>
      </c>
      <c r="F287" s="329">
        <v>184.49</v>
      </c>
      <c r="G287" s="330">
        <v>214.22</v>
      </c>
      <c r="H287" s="331">
        <v>398.71</v>
      </c>
      <c r="I287" s="321"/>
      <c r="J287" s="328"/>
      <c r="K287" s="328"/>
      <c r="L287" s="328"/>
      <c r="M287" s="328"/>
      <c r="N287" s="328"/>
      <c r="O287" s="328"/>
    </row>
    <row r="288" spans="1:15" s="102" customFormat="1" ht="15.75" customHeight="1">
      <c r="A288" s="149"/>
      <c r="B288" s="150"/>
      <c r="C288" s="151" t="s">
        <v>176</v>
      </c>
      <c r="D288" s="152" t="s">
        <v>8</v>
      </c>
      <c r="E288" s="279">
        <v>17</v>
      </c>
      <c r="F288" s="329">
        <v>20908.98</v>
      </c>
      <c r="G288" s="330">
        <v>24278.04</v>
      </c>
      <c r="H288" s="331">
        <v>45187.02</v>
      </c>
      <c r="I288" s="321"/>
      <c r="J288" s="328"/>
      <c r="K288" s="328"/>
      <c r="L288" s="328"/>
      <c r="M288" s="328"/>
      <c r="N288" s="328"/>
      <c r="O288" s="328"/>
    </row>
    <row r="289" spans="1:15" ht="24" customHeight="1">
      <c r="A289" s="145" t="s">
        <v>264</v>
      </c>
      <c r="B289" s="159"/>
      <c r="C289" s="160" t="s">
        <v>178</v>
      </c>
      <c r="D289" s="161" t="s">
        <v>7</v>
      </c>
      <c r="E289" s="281"/>
      <c r="F289" s="337">
        <v>3580.22</v>
      </c>
      <c r="G289" s="336">
        <v>3568.82</v>
      </c>
      <c r="H289" s="326">
        <v>7149.04</v>
      </c>
      <c r="I289" s="321"/>
      <c r="J289" s="328"/>
      <c r="K289" s="342">
        <f>I289+J289</f>
        <v>0</v>
      </c>
      <c r="L289" s="342">
        <f>H289*I289</f>
        <v>0</v>
      </c>
      <c r="M289" s="342">
        <f>H289*J289</f>
        <v>0</v>
      </c>
      <c r="N289" s="328">
        <f>SUM(L289:M289)</f>
        <v>0</v>
      </c>
      <c r="O289" s="328"/>
    </row>
    <row r="290" spans="1:15" s="102" customFormat="1" ht="15.75" customHeight="1">
      <c r="A290" s="149"/>
      <c r="B290" s="150"/>
      <c r="C290" s="151" t="s">
        <v>189</v>
      </c>
      <c r="D290" s="152" t="s">
        <v>7</v>
      </c>
      <c r="E290" s="279">
        <v>1.02</v>
      </c>
      <c r="F290" s="329">
        <v>3651.82</v>
      </c>
      <c r="G290" s="330">
        <v>3640.2</v>
      </c>
      <c r="H290" s="331">
        <v>7292.02</v>
      </c>
      <c r="I290" s="321"/>
      <c r="J290" s="328"/>
      <c r="K290" s="328"/>
      <c r="L290" s="328"/>
      <c r="M290" s="328"/>
      <c r="N290" s="328"/>
      <c r="O290" s="328"/>
    </row>
    <row r="291" spans="1:15" s="102" customFormat="1" ht="15.75" customHeight="1">
      <c r="A291" s="149"/>
      <c r="B291" s="150"/>
      <c r="C291" s="151" t="s">
        <v>190</v>
      </c>
      <c r="D291" s="152" t="s">
        <v>8</v>
      </c>
      <c r="E291" s="279">
        <v>3.5</v>
      </c>
      <c r="F291" s="329">
        <v>12530.77</v>
      </c>
      <c r="G291" s="330">
        <v>12490.87</v>
      </c>
      <c r="H291" s="331">
        <v>25021.64</v>
      </c>
      <c r="I291" s="321"/>
      <c r="J291" s="328"/>
      <c r="K291" s="328"/>
      <c r="L291" s="328"/>
      <c r="M291" s="328"/>
      <c r="N291" s="328"/>
      <c r="O291" s="328"/>
    </row>
    <row r="292" spans="1:15" s="137" customFormat="1" ht="58.5" customHeight="1">
      <c r="A292" s="145" t="s">
        <v>265</v>
      </c>
      <c r="B292" s="159"/>
      <c r="C292" s="160" t="s">
        <v>360</v>
      </c>
      <c r="D292" s="161" t="s">
        <v>7</v>
      </c>
      <c r="E292" s="281"/>
      <c r="F292" s="337">
        <v>11.5</v>
      </c>
      <c r="G292" s="336">
        <v>11.5</v>
      </c>
      <c r="H292" s="326">
        <v>23</v>
      </c>
      <c r="I292" s="321"/>
      <c r="J292" s="328"/>
      <c r="K292" s="321">
        <f>I292+J292</f>
        <v>0</v>
      </c>
      <c r="L292" s="321">
        <f>H292*I292</f>
        <v>0</v>
      </c>
      <c r="M292" s="321">
        <f>H292*J292</f>
        <v>0</v>
      </c>
      <c r="N292" s="321">
        <f>SUM(L292:M292)</f>
        <v>0</v>
      </c>
      <c r="O292" s="321"/>
    </row>
    <row r="293" spans="1:15" s="137" customFormat="1" ht="19.5" customHeight="1">
      <c r="A293" s="149"/>
      <c r="B293" s="150"/>
      <c r="C293" s="151" t="s">
        <v>203</v>
      </c>
      <c r="D293" s="152" t="s">
        <v>7</v>
      </c>
      <c r="E293" s="279">
        <v>1.1299999999999999</v>
      </c>
      <c r="F293" s="338">
        <v>13</v>
      </c>
      <c r="G293" s="339">
        <v>13</v>
      </c>
      <c r="H293" s="331">
        <v>26</v>
      </c>
      <c r="I293" s="321"/>
      <c r="J293" s="328"/>
      <c r="K293" s="321"/>
      <c r="L293" s="321"/>
      <c r="M293" s="321"/>
      <c r="N293" s="321"/>
      <c r="O293" s="321"/>
    </row>
    <row r="294" spans="1:15" s="137" customFormat="1" ht="19.5" customHeight="1">
      <c r="A294" s="149"/>
      <c r="B294" s="150"/>
      <c r="C294" s="151" t="s">
        <v>358</v>
      </c>
      <c r="D294" s="152" t="s">
        <v>8</v>
      </c>
      <c r="E294" s="279">
        <v>1</v>
      </c>
      <c r="F294" s="338">
        <v>11.5</v>
      </c>
      <c r="G294" s="339">
        <v>11.5</v>
      </c>
      <c r="H294" s="331">
        <v>23</v>
      </c>
      <c r="I294" s="321"/>
      <c r="J294" s="328"/>
      <c r="K294" s="321"/>
      <c r="L294" s="321"/>
      <c r="M294" s="321"/>
      <c r="N294" s="321"/>
      <c r="O294" s="321"/>
    </row>
    <row r="295" spans="1:15" s="137" customFormat="1" ht="19.5" customHeight="1">
      <c r="A295" s="149"/>
      <c r="B295" s="150"/>
      <c r="C295" s="163" t="s">
        <v>359</v>
      </c>
      <c r="D295" s="164" t="s">
        <v>22</v>
      </c>
      <c r="E295" s="283">
        <v>0.05</v>
      </c>
      <c r="F295" s="338">
        <v>0.59</v>
      </c>
      <c r="G295" s="339">
        <v>0.59</v>
      </c>
      <c r="H295" s="331">
        <v>1.18</v>
      </c>
      <c r="I295" s="321"/>
      <c r="J295" s="328"/>
      <c r="K295" s="321"/>
      <c r="L295" s="321"/>
      <c r="M295" s="321"/>
      <c r="N295" s="321"/>
      <c r="O295" s="321"/>
    </row>
    <row r="296" spans="1:15" s="137" customFormat="1" ht="19.5" customHeight="1">
      <c r="A296" s="149"/>
      <c r="B296" s="150"/>
      <c r="C296" s="151" t="s">
        <v>201</v>
      </c>
      <c r="D296" s="152" t="s">
        <v>8</v>
      </c>
      <c r="E296" s="279">
        <v>1.2</v>
      </c>
      <c r="F296" s="338">
        <v>13.8</v>
      </c>
      <c r="G296" s="339">
        <v>13.8</v>
      </c>
      <c r="H296" s="331">
        <v>27.6</v>
      </c>
      <c r="I296" s="321"/>
      <c r="J296" s="328"/>
      <c r="K296" s="321"/>
      <c r="L296" s="321"/>
      <c r="M296" s="321"/>
      <c r="N296" s="321"/>
      <c r="O296" s="321"/>
    </row>
    <row r="297" spans="1:15" s="137" customFormat="1" ht="19.5" customHeight="1">
      <c r="A297" s="149"/>
      <c r="B297" s="150"/>
      <c r="C297" s="151" t="s">
        <v>188</v>
      </c>
      <c r="D297" s="152" t="s">
        <v>8</v>
      </c>
      <c r="E297" s="284">
        <v>0.2</v>
      </c>
      <c r="F297" s="338">
        <v>2.2999999999999998</v>
      </c>
      <c r="G297" s="339">
        <v>2.2999999999999998</v>
      </c>
      <c r="H297" s="331">
        <v>4.5999999999999996</v>
      </c>
      <c r="I297" s="321"/>
      <c r="J297" s="328"/>
      <c r="K297" s="321"/>
      <c r="L297" s="321"/>
      <c r="M297" s="321"/>
      <c r="N297" s="321"/>
      <c r="O297" s="321"/>
    </row>
    <row r="298" spans="1:15" s="137" customFormat="1" ht="24" customHeight="1">
      <c r="A298" s="143" t="s">
        <v>266</v>
      </c>
      <c r="B298" s="144"/>
      <c r="C298" s="131" t="s">
        <v>219</v>
      </c>
      <c r="D298" s="132"/>
      <c r="E298" s="277"/>
      <c r="F298" s="324"/>
      <c r="G298" s="324"/>
      <c r="H298" s="324"/>
      <c r="I298" s="327"/>
      <c r="J298" s="321"/>
      <c r="K298" s="321"/>
      <c r="L298" s="321"/>
      <c r="M298" s="321"/>
      <c r="N298" s="321"/>
      <c r="O298" s="321"/>
    </row>
    <row r="299" spans="1:15" s="102" customFormat="1" ht="45.75" customHeight="1">
      <c r="A299" s="145" t="s">
        <v>267</v>
      </c>
      <c r="B299" s="159"/>
      <c r="C299" s="160" t="s">
        <v>163</v>
      </c>
      <c r="D299" s="161" t="s">
        <v>7</v>
      </c>
      <c r="E299" s="281"/>
      <c r="F299" s="335">
        <v>1653.72</v>
      </c>
      <c r="G299" s="336">
        <v>1657.52</v>
      </c>
      <c r="H299" s="326">
        <v>3311.24</v>
      </c>
      <c r="I299" s="328"/>
      <c r="J299" s="328"/>
      <c r="K299" s="328">
        <f>I299+J299</f>
        <v>0</v>
      </c>
      <c r="L299" s="328">
        <f>H299*I299</f>
        <v>0</v>
      </c>
      <c r="M299" s="328">
        <f>H299*J299</f>
        <v>0</v>
      </c>
      <c r="N299" s="328">
        <f>SUM(L299:M299)</f>
        <v>0</v>
      </c>
      <c r="O299" s="328"/>
    </row>
    <row r="300" spans="1:15" s="102" customFormat="1" ht="15.75" customHeight="1">
      <c r="A300" s="149"/>
      <c r="B300" s="150"/>
      <c r="C300" s="151" t="s">
        <v>164</v>
      </c>
      <c r="D300" s="152" t="s">
        <v>21</v>
      </c>
      <c r="E300" s="279">
        <v>0.15</v>
      </c>
      <c r="F300" s="329">
        <v>248.06</v>
      </c>
      <c r="G300" s="330">
        <v>248.63</v>
      </c>
      <c r="H300" s="331">
        <v>496.69</v>
      </c>
      <c r="I300" s="328"/>
      <c r="J300" s="328"/>
      <c r="K300" s="328"/>
      <c r="L300" s="328"/>
      <c r="M300" s="328"/>
      <c r="N300" s="328"/>
      <c r="O300" s="328"/>
    </row>
    <row r="301" spans="1:15" s="102" customFormat="1" ht="15.75" customHeight="1">
      <c r="A301" s="149"/>
      <c r="B301" s="150"/>
      <c r="C301" s="151" t="s">
        <v>166</v>
      </c>
      <c r="D301" s="152" t="s">
        <v>8</v>
      </c>
      <c r="E301" s="279">
        <v>8.4</v>
      </c>
      <c r="F301" s="329">
        <v>13891.25</v>
      </c>
      <c r="G301" s="330">
        <v>13923.17</v>
      </c>
      <c r="H301" s="331">
        <v>27814.42</v>
      </c>
      <c r="I301" s="328"/>
      <c r="J301" s="328"/>
      <c r="K301" s="328"/>
      <c r="L301" s="328"/>
      <c r="M301" s="328"/>
      <c r="N301" s="328"/>
      <c r="O301" s="328"/>
    </row>
    <row r="302" spans="1:15" s="102" customFormat="1" ht="30.75" customHeight="1">
      <c r="A302" s="145" t="s">
        <v>268</v>
      </c>
      <c r="B302" s="159"/>
      <c r="C302" s="160" t="s">
        <v>220</v>
      </c>
      <c r="D302" s="161"/>
      <c r="E302" s="281"/>
      <c r="F302" s="337">
        <v>6163.28</v>
      </c>
      <c r="G302" s="336">
        <v>6661.28</v>
      </c>
      <c r="H302" s="326">
        <v>12824.56</v>
      </c>
      <c r="I302" s="328"/>
      <c r="J302" s="328"/>
      <c r="K302" s="328">
        <f>I302+J302</f>
        <v>0</v>
      </c>
      <c r="L302" s="328">
        <f>H302*I302</f>
        <v>0</v>
      </c>
      <c r="M302" s="328">
        <f>H302*J302</f>
        <v>0</v>
      </c>
      <c r="N302" s="328">
        <f>SUM(L302:M302)</f>
        <v>0</v>
      </c>
      <c r="O302" s="328"/>
    </row>
    <row r="303" spans="1:15" s="102" customFormat="1" ht="20.25" customHeight="1">
      <c r="A303" s="149"/>
      <c r="B303" s="150"/>
      <c r="C303" s="151" t="s">
        <v>166</v>
      </c>
      <c r="D303" s="152" t="s">
        <v>8</v>
      </c>
      <c r="E303" s="279">
        <v>5.25</v>
      </c>
      <c r="F303" s="329">
        <v>32357.22</v>
      </c>
      <c r="G303" s="330">
        <v>34971.72</v>
      </c>
      <c r="H303" s="331">
        <v>67328.94</v>
      </c>
      <c r="I303" s="328"/>
      <c r="J303" s="328"/>
      <c r="K303" s="328"/>
      <c r="L303" s="328"/>
      <c r="M303" s="328"/>
      <c r="N303" s="328"/>
      <c r="O303" s="328"/>
    </row>
    <row r="304" spans="1:15" s="102" customFormat="1" ht="31.5" customHeight="1">
      <c r="A304" s="145" t="s">
        <v>269</v>
      </c>
      <c r="B304" s="159"/>
      <c r="C304" s="160" t="s">
        <v>328</v>
      </c>
      <c r="D304" s="161"/>
      <c r="E304" s="281"/>
      <c r="F304" s="337">
        <v>8384.98</v>
      </c>
      <c r="G304" s="336">
        <v>7868.4</v>
      </c>
      <c r="H304" s="326">
        <v>16253.38</v>
      </c>
      <c r="I304" s="341"/>
      <c r="J304" s="328"/>
      <c r="K304" s="328">
        <f>I304+J304</f>
        <v>0</v>
      </c>
      <c r="L304" s="328">
        <f>H304*I304</f>
        <v>0</v>
      </c>
      <c r="M304" s="328">
        <f>H304*J304</f>
        <v>0</v>
      </c>
      <c r="N304" s="328">
        <f>SUM(L304:M304)</f>
        <v>0</v>
      </c>
      <c r="O304" s="328"/>
    </row>
    <row r="305" spans="1:15" s="102" customFormat="1" ht="20.25" customHeight="1">
      <c r="A305" s="149"/>
      <c r="B305" s="150"/>
      <c r="C305" s="151" t="s">
        <v>166</v>
      </c>
      <c r="D305" s="152" t="s">
        <v>8</v>
      </c>
      <c r="E305" s="279">
        <v>2.1</v>
      </c>
      <c r="F305" s="329">
        <v>17608.46</v>
      </c>
      <c r="G305" s="330">
        <v>16523.64</v>
      </c>
      <c r="H305" s="331">
        <v>34132.1</v>
      </c>
      <c r="I305" s="341"/>
      <c r="J305" s="328"/>
      <c r="K305" s="328"/>
      <c r="L305" s="328"/>
      <c r="M305" s="328"/>
      <c r="N305" s="328"/>
      <c r="O305" s="328"/>
    </row>
    <row r="306" spans="1:15" s="102" customFormat="1" ht="20.25" customHeight="1">
      <c r="A306" s="145" t="s">
        <v>270</v>
      </c>
      <c r="B306" s="146"/>
      <c r="C306" s="160" t="s">
        <v>223</v>
      </c>
      <c r="D306" s="161" t="s">
        <v>7</v>
      </c>
      <c r="E306" s="286"/>
      <c r="F306" s="337">
        <v>16201.98</v>
      </c>
      <c r="G306" s="336">
        <v>16187.2</v>
      </c>
      <c r="H306" s="326">
        <v>32389.18</v>
      </c>
      <c r="I306" s="328"/>
      <c r="J306" s="328"/>
      <c r="K306" s="328">
        <f>I306+J306</f>
        <v>0</v>
      </c>
      <c r="L306" s="328">
        <f>H306*I306</f>
        <v>0</v>
      </c>
      <c r="M306" s="328">
        <f>H306*J306</f>
        <v>0</v>
      </c>
      <c r="N306" s="328">
        <f>SUM(L306:M306)</f>
        <v>0</v>
      </c>
      <c r="O306" s="328"/>
    </row>
    <row r="307" spans="1:15" s="102" customFormat="1" ht="20.25" customHeight="1">
      <c r="A307" s="167"/>
      <c r="B307" s="150"/>
      <c r="C307" s="151" t="s">
        <v>164</v>
      </c>
      <c r="D307" s="152" t="s">
        <v>21</v>
      </c>
      <c r="E307" s="279">
        <v>0.15</v>
      </c>
      <c r="F307" s="329">
        <v>2430.3000000000002</v>
      </c>
      <c r="G307" s="330">
        <v>2428.08</v>
      </c>
      <c r="H307" s="331">
        <v>4858.38</v>
      </c>
      <c r="I307" s="328"/>
      <c r="J307" s="328"/>
      <c r="K307" s="328"/>
      <c r="L307" s="328"/>
      <c r="M307" s="328"/>
      <c r="N307" s="328"/>
      <c r="O307" s="328"/>
    </row>
    <row r="308" spans="1:15" s="102" customFormat="1" ht="20.25" customHeight="1">
      <c r="A308" s="167"/>
      <c r="B308" s="150"/>
      <c r="C308" s="151" t="s">
        <v>201</v>
      </c>
      <c r="D308" s="152" t="s">
        <v>8</v>
      </c>
      <c r="E308" s="279">
        <v>1.2</v>
      </c>
      <c r="F308" s="329">
        <v>19442.38</v>
      </c>
      <c r="G308" s="330">
        <v>19424.64</v>
      </c>
      <c r="H308" s="331">
        <v>38867.019999999997</v>
      </c>
      <c r="I308" s="328"/>
      <c r="J308" s="328"/>
      <c r="K308" s="328"/>
      <c r="L308" s="328"/>
      <c r="M308" s="328"/>
      <c r="N308" s="328"/>
      <c r="O308" s="328"/>
    </row>
    <row r="309" spans="1:15" s="102" customFormat="1" ht="20.25" customHeight="1">
      <c r="A309" s="145" t="s">
        <v>271</v>
      </c>
      <c r="B309" s="146"/>
      <c r="C309" s="160" t="s">
        <v>27</v>
      </c>
      <c r="D309" s="161" t="s">
        <v>7</v>
      </c>
      <c r="E309" s="286"/>
      <c r="F309" s="337">
        <v>16201.98</v>
      </c>
      <c r="G309" s="336">
        <v>16187.2</v>
      </c>
      <c r="H309" s="326">
        <v>32389.18</v>
      </c>
      <c r="I309" s="328"/>
      <c r="J309" s="328"/>
      <c r="K309" s="328">
        <f>I309+J309</f>
        <v>0</v>
      </c>
      <c r="L309" s="328">
        <f>H309*I309</f>
        <v>0</v>
      </c>
      <c r="M309" s="328">
        <f>H309*J309</f>
        <v>0</v>
      </c>
      <c r="N309" s="328">
        <f>SUM(L309:M309)</f>
        <v>0</v>
      </c>
      <c r="O309" s="328"/>
    </row>
    <row r="310" spans="1:15" s="102" customFormat="1" ht="20.25" customHeight="1">
      <c r="A310" s="149"/>
      <c r="B310" s="150"/>
      <c r="C310" s="151" t="s">
        <v>225</v>
      </c>
      <c r="D310" s="152" t="s">
        <v>7</v>
      </c>
      <c r="E310" s="279">
        <v>1.02</v>
      </c>
      <c r="F310" s="329">
        <v>16526.02</v>
      </c>
      <c r="G310" s="330">
        <v>16510.939999999999</v>
      </c>
      <c r="H310" s="331">
        <v>33036.959999999999</v>
      </c>
      <c r="I310" s="328"/>
      <c r="J310" s="328"/>
      <c r="K310" s="328"/>
      <c r="L310" s="328"/>
      <c r="M310" s="328"/>
      <c r="N310" s="328"/>
      <c r="O310" s="328"/>
    </row>
    <row r="311" spans="1:15" s="102" customFormat="1" ht="20.25" customHeight="1">
      <c r="A311" s="145" t="s">
        <v>272</v>
      </c>
      <c r="B311" s="146"/>
      <c r="C311" s="160" t="s">
        <v>227</v>
      </c>
      <c r="D311" s="161" t="s">
        <v>7</v>
      </c>
      <c r="E311" s="286"/>
      <c r="F311" s="337">
        <v>16201.98</v>
      </c>
      <c r="G311" s="336">
        <v>16187.2</v>
      </c>
      <c r="H311" s="326">
        <v>32389.18</v>
      </c>
      <c r="I311" s="328"/>
      <c r="J311" s="328"/>
      <c r="K311" s="328">
        <f>I311+J311</f>
        <v>0</v>
      </c>
      <c r="L311" s="328">
        <f>H311*I311</f>
        <v>0</v>
      </c>
      <c r="M311" s="328">
        <f>H311*J311</f>
        <v>0</v>
      </c>
      <c r="N311" s="328">
        <f>SUM(L311:M311)</f>
        <v>0</v>
      </c>
      <c r="O311" s="328"/>
    </row>
    <row r="312" spans="1:15" s="102" customFormat="1" ht="20.25" customHeight="1">
      <c r="A312" s="149"/>
      <c r="B312" s="150"/>
      <c r="C312" s="151" t="s">
        <v>229</v>
      </c>
      <c r="D312" s="152" t="s">
        <v>7</v>
      </c>
      <c r="E312" s="284">
        <v>0.2</v>
      </c>
      <c r="F312" s="329">
        <v>3240.4</v>
      </c>
      <c r="G312" s="330">
        <v>3237.44</v>
      </c>
      <c r="H312" s="331">
        <v>6477.84</v>
      </c>
      <c r="I312" s="328"/>
      <c r="J312" s="328"/>
      <c r="K312" s="328"/>
      <c r="L312" s="328"/>
      <c r="M312" s="328"/>
      <c r="N312" s="328"/>
      <c r="O312" s="328"/>
    </row>
    <row r="313" spans="1:15" s="102" customFormat="1" ht="46.5" customHeight="1">
      <c r="A313" s="145" t="s">
        <v>273</v>
      </c>
      <c r="B313" s="159"/>
      <c r="C313" s="160" t="s">
        <v>360</v>
      </c>
      <c r="D313" s="161" t="s">
        <v>7</v>
      </c>
      <c r="E313" s="281"/>
      <c r="F313" s="337">
        <v>715.67</v>
      </c>
      <c r="G313" s="336">
        <v>715.67</v>
      </c>
      <c r="H313" s="326">
        <v>1431.34</v>
      </c>
      <c r="I313" s="328"/>
      <c r="J313" s="328"/>
      <c r="K313" s="328">
        <f>I313+J313</f>
        <v>0</v>
      </c>
      <c r="L313" s="328">
        <f>H313*I313</f>
        <v>0</v>
      </c>
      <c r="M313" s="328">
        <f>H313*J313</f>
        <v>0</v>
      </c>
      <c r="N313" s="328">
        <f>SUM(L313:M313)</f>
        <v>0</v>
      </c>
      <c r="O313" s="328"/>
    </row>
    <row r="314" spans="1:15" s="102" customFormat="1" ht="20.25" customHeight="1">
      <c r="A314" s="149"/>
      <c r="B314" s="150"/>
      <c r="C314" s="151" t="s">
        <v>203</v>
      </c>
      <c r="D314" s="152" t="s">
        <v>7</v>
      </c>
      <c r="E314" s="279">
        <v>1.1299999999999999</v>
      </c>
      <c r="F314" s="329">
        <v>808.71</v>
      </c>
      <c r="G314" s="330">
        <v>808.71</v>
      </c>
      <c r="H314" s="331">
        <v>1617.42</v>
      </c>
      <c r="I314" s="328"/>
      <c r="J314" s="328"/>
      <c r="K314" s="328"/>
      <c r="L314" s="328"/>
      <c r="M314" s="328"/>
      <c r="N314" s="328"/>
      <c r="O314" s="328"/>
    </row>
    <row r="315" spans="1:15" s="102" customFormat="1" ht="20.25" customHeight="1">
      <c r="A315" s="149"/>
      <c r="B315" s="150"/>
      <c r="C315" s="151" t="s">
        <v>358</v>
      </c>
      <c r="D315" s="152" t="s">
        <v>8</v>
      </c>
      <c r="E315" s="279">
        <v>1</v>
      </c>
      <c r="F315" s="329">
        <v>715.67</v>
      </c>
      <c r="G315" s="330">
        <v>715.67</v>
      </c>
      <c r="H315" s="331">
        <v>1431.34</v>
      </c>
      <c r="I315" s="328"/>
      <c r="J315" s="328"/>
      <c r="K315" s="328"/>
      <c r="L315" s="328"/>
      <c r="M315" s="328"/>
      <c r="N315" s="328"/>
      <c r="O315" s="328"/>
    </row>
    <row r="316" spans="1:15" s="102" customFormat="1" ht="18.75" customHeight="1">
      <c r="A316" s="149"/>
      <c r="B316" s="150"/>
      <c r="C316" s="163" t="s">
        <v>359</v>
      </c>
      <c r="D316" s="164" t="s">
        <v>22</v>
      </c>
      <c r="E316" s="283">
        <v>0.05</v>
      </c>
      <c r="F316" s="329">
        <v>36.5</v>
      </c>
      <c r="G316" s="330">
        <v>36.5</v>
      </c>
      <c r="H316" s="331">
        <v>73</v>
      </c>
      <c r="I316" s="328"/>
      <c r="J316" s="328"/>
      <c r="K316" s="328"/>
      <c r="L316" s="328"/>
      <c r="M316" s="328"/>
      <c r="N316" s="328"/>
      <c r="O316" s="328"/>
    </row>
    <row r="317" spans="1:15" s="102" customFormat="1" ht="20.25" customHeight="1">
      <c r="A317" s="149"/>
      <c r="B317" s="150"/>
      <c r="C317" s="151" t="s">
        <v>201</v>
      </c>
      <c r="D317" s="152" t="s">
        <v>8</v>
      </c>
      <c r="E317" s="279">
        <v>1.2</v>
      </c>
      <c r="F317" s="329">
        <v>858.8</v>
      </c>
      <c r="G317" s="330">
        <v>858.8</v>
      </c>
      <c r="H317" s="331">
        <v>1717.6</v>
      </c>
      <c r="I317" s="328"/>
      <c r="J317" s="328"/>
      <c r="K317" s="328"/>
      <c r="L317" s="328"/>
      <c r="M317" s="328"/>
      <c r="N317" s="328"/>
      <c r="O317" s="328"/>
    </row>
    <row r="318" spans="1:15" s="102" customFormat="1" ht="20.25" customHeight="1">
      <c r="A318" s="149"/>
      <c r="B318" s="150"/>
      <c r="C318" s="151" t="s">
        <v>188</v>
      </c>
      <c r="D318" s="152" t="s">
        <v>8</v>
      </c>
      <c r="E318" s="284">
        <v>0.2</v>
      </c>
      <c r="F318" s="329">
        <v>143.13</v>
      </c>
      <c r="G318" s="330">
        <v>143.13</v>
      </c>
      <c r="H318" s="331">
        <v>286.26</v>
      </c>
      <c r="I318" s="328"/>
      <c r="J318" s="328"/>
      <c r="K318" s="328"/>
      <c r="L318" s="328"/>
      <c r="M318" s="328"/>
      <c r="N318" s="328"/>
      <c r="O318" s="328"/>
    </row>
    <row r="319" spans="1:15" s="102" customFormat="1" ht="64.5" customHeight="1">
      <c r="A319" s="145" t="s">
        <v>274</v>
      </c>
      <c r="B319" s="159"/>
      <c r="C319" s="160" t="s">
        <v>329</v>
      </c>
      <c r="D319" s="161" t="s">
        <v>7</v>
      </c>
      <c r="E319" s="281"/>
      <c r="F319" s="337">
        <v>60.56</v>
      </c>
      <c r="G319" s="336">
        <v>60.56</v>
      </c>
      <c r="H319" s="326">
        <v>121.12</v>
      </c>
      <c r="I319" s="328"/>
      <c r="J319" s="328"/>
      <c r="K319" s="328">
        <f>I319+J319</f>
        <v>0</v>
      </c>
      <c r="L319" s="328">
        <f>H319*I319</f>
        <v>0</v>
      </c>
      <c r="M319" s="328">
        <f>H319*J319</f>
        <v>0</v>
      </c>
      <c r="N319" s="328">
        <f>SUM(L319:M319)</f>
        <v>0</v>
      </c>
      <c r="O319" s="328"/>
    </row>
    <row r="320" spans="1:15" s="102" customFormat="1" ht="20.25" customHeight="1">
      <c r="A320" s="149"/>
      <c r="B320" s="150"/>
      <c r="C320" s="151" t="s">
        <v>164</v>
      </c>
      <c r="D320" s="152" t="s">
        <v>21</v>
      </c>
      <c r="E320" s="279">
        <v>0.15</v>
      </c>
      <c r="F320" s="329">
        <v>9.08</v>
      </c>
      <c r="G320" s="330">
        <v>9.08</v>
      </c>
      <c r="H320" s="331">
        <v>18.16</v>
      </c>
      <c r="I320" s="328"/>
      <c r="J320" s="328"/>
      <c r="K320" s="328"/>
      <c r="L320" s="328"/>
      <c r="M320" s="328"/>
      <c r="N320" s="328"/>
      <c r="O320" s="328"/>
    </row>
    <row r="321" spans="1:15" s="102" customFormat="1" ht="20.25" customHeight="1">
      <c r="A321" s="149"/>
      <c r="B321" s="150"/>
      <c r="C321" s="151" t="s">
        <v>166</v>
      </c>
      <c r="D321" s="152" t="s">
        <v>8</v>
      </c>
      <c r="E321" s="279">
        <v>8.4</v>
      </c>
      <c r="F321" s="329">
        <v>508.7</v>
      </c>
      <c r="G321" s="330">
        <v>508.7</v>
      </c>
      <c r="H321" s="331">
        <v>1017.4</v>
      </c>
      <c r="I321" s="328"/>
      <c r="J321" s="328"/>
      <c r="K321" s="328"/>
      <c r="L321" s="328"/>
      <c r="M321" s="328"/>
      <c r="N321" s="328"/>
      <c r="O321" s="328"/>
    </row>
    <row r="322" spans="1:15" s="102" customFormat="1" ht="20.25" customHeight="1">
      <c r="A322" s="149"/>
      <c r="B322" s="150"/>
      <c r="C322" s="151" t="s">
        <v>201</v>
      </c>
      <c r="D322" s="152" t="s">
        <v>8</v>
      </c>
      <c r="E322" s="279">
        <v>1.2</v>
      </c>
      <c r="F322" s="329">
        <v>72.67</v>
      </c>
      <c r="G322" s="330">
        <v>72.67</v>
      </c>
      <c r="H322" s="331">
        <v>145.34</v>
      </c>
      <c r="I322" s="328"/>
      <c r="J322" s="328"/>
      <c r="K322" s="328"/>
      <c r="L322" s="328"/>
      <c r="M322" s="328"/>
      <c r="N322" s="328"/>
      <c r="O322" s="328"/>
    </row>
    <row r="323" spans="1:15" s="102" customFormat="1" ht="20.25" customHeight="1">
      <c r="A323" s="149"/>
      <c r="B323" s="150"/>
      <c r="C323" s="151" t="s">
        <v>225</v>
      </c>
      <c r="D323" s="152" t="s">
        <v>7</v>
      </c>
      <c r="E323" s="279">
        <v>1.02</v>
      </c>
      <c r="F323" s="329">
        <v>61.77</v>
      </c>
      <c r="G323" s="330">
        <v>61.77</v>
      </c>
      <c r="H323" s="331">
        <v>123.54</v>
      </c>
      <c r="I323" s="328"/>
      <c r="J323" s="328"/>
      <c r="K323" s="328"/>
      <c r="L323" s="328"/>
      <c r="M323" s="328"/>
      <c r="N323" s="328"/>
      <c r="O323" s="328"/>
    </row>
    <row r="324" spans="1:15" s="102" customFormat="1" ht="20.25" customHeight="1">
      <c r="A324" s="149"/>
      <c r="B324" s="150"/>
      <c r="C324" s="151" t="s">
        <v>229</v>
      </c>
      <c r="D324" s="152" t="s">
        <v>8</v>
      </c>
      <c r="E324" s="284">
        <v>0.2</v>
      </c>
      <c r="F324" s="329">
        <v>12.11</v>
      </c>
      <c r="G324" s="330">
        <v>12.11</v>
      </c>
      <c r="H324" s="331">
        <v>24.22</v>
      </c>
      <c r="I324" s="328"/>
      <c r="J324" s="328"/>
      <c r="K324" s="328"/>
      <c r="L324" s="328"/>
      <c r="M324" s="328"/>
      <c r="N324" s="328"/>
      <c r="O324" s="328"/>
    </row>
    <row r="325" spans="1:15" s="137" customFormat="1" ht="21" customHeight="1">
      <c r="A325" s="155" t="s">
        <v>293</v>
      </c>
      <c r="B325" s="156"/>
      <c r="C325" s="157" t="s">
        <v>288</v>
      </c>
      <c r="D325" s="158"/>
      <c r="E325" s="280"/>
      <c r="F325" s="334"/>
      <c r="G325" s="334"/>
      <c r="H325" s="334"/>
      <c r="I325" s="327"/>
      <c r="J325" s="321"/>
      <c r="K325" s="321"/>
      <c r="L325" s="321"/>
      <c r="M325" s="321"/>
      <c r="N325" s="321"/>
      <c r="O325" s="321"/>
    </row>
    <row r="326" spans="1:15" s="137" customFormat="1" ht="21" customHeight="1">
      <c r="A326" s="145" t="s">
        <v>294</v>
      </c>
      <c r="B326" s="159"/>
      <c r="C326" s="160" t="s">
        <v>338</v>
      </c>
      <c r="D326" s="161" t="s">
        <v>18</v>
      </c>
      <c r="E326" s="281"/>
      <c r="F326" s="335">
        <v>2765</v>
      </c>
      <c r="G326" s="336">
        <v>2765</v>
      </c>
      <c r="H326" s="326">
        <v>5530</v>
      </c>
      <c r="I326" s="327"/>
      <c r="J326" s="321"/>
      <c r="K326" s="321">
        <f>I326+J326</f>
        <v>0</v>
      </c>
      <c r="L326" s="321">
        <f>H326*I326</f>
        <v>0</v>
      </c>
      <c r="M326" s="321">
        <f>H326*J326</f>
        <v>0</v>
      </c>
      <c r="N326" s="321">
        <f>SUM(L326:M326)</f>
        <v>0</v>
      </c>
      <c r="O326" s="321"/>
    </row>
    <row r="327" spans="1:15" s="137" customFormat="1" ht="21" customHeight="1">
      <c r="A327" s="149"/>
      <c r="B327" s="150"/>
      <c r="C327" s="151" t="s">
        <v>176</v>
      </c>
      <c r="D327" s="152" t="s">
        <v>8</v>
      </c>
      <c r="E327" s="279">
        <v>2</v>
      </c>
      <c r="F327" s="329">
        <v>5530</v>
      </c>
      <c r="G327" s="330">
        <v>5530</v>
      </c>
      <c r="H327" s="331">
        <v>11060</v>
      </c>
      <c r="I327" s="327"/>
      <c r="J327" s="321"/>
      <c r="K327" s="321"/>
      <c r="L327" s="321"/>
      <c r="M327" s="321"/>
      <c r="N327" s="321"/>
      <c r="O327" s="321"/>
    </row>
    <row r="328" spans="1:15" s="137" customFormat="1" ht="21" customHeight="1">
      <c r="A328" s="145" t="s">
        <v>295</v>
      </c>
      <c r="B328" s="159"/>
      <c r="C328" s="160" t="s">
        <v>291</v>
      </c>
      <c r="D328" s="161" t="s">
        <v>292</v>
      </c>
      <c r="E328" s="281"/>
      <c r="F328" s="337">
        <v>1645</v>
      </c>
      <c r="G328" s="336">
        <v>1645</v>
      </c>
      <c r="H328" s="326">
        <v>3290</v>
      </c>
      <c r="I328" s="327"/>
      <c r="J328" s="321"/>
      <c r="K328" s="321">
        <f>I328+J328</f>
        <v>0</v>
      </c>
      <c r="L328" s="321">
        <f>H328*I328</f>
        <v>0</v>
      </c>
      <c r="M328" s="321">
        <f>H328*J328</f>
        <v>0</v>
      </c>
      <c r="N328" s="321">
        <f>SUM(L328:M328)</f>
        <v>0</v>
      </c>
      <c r="O328" s="321"/>
    </row>
    <row r="329" spans="1:15" s="137" customFormat="1" ht="21" customHeight="1">
      <c r="A329" s="149"/>
      <c r="B329" s="150"/>
      <c r="C329" s="151" t="s">
        <v>176</v>
      </c>
      <c r="D329" s="152" t="s">
        <v>8</v>
      </c>
      <c r="E329" s="279">
        <v>1.5</v>
      </c>
      <c r="F329" s="329">
        <v>2467.5</v>
      </c>
      <c r="G329" s="330">
        <v>2467.5</v>
      </c>
      <c r="H329" s="331">
        <v>4935</v>
      </c>
      <c r="I329" s="327"/>
      <c r="J329" s="321"/>
      <c r="K329" s="321"/>
      <c r="L329" s="321"/>
      <c r="M329" s="321"/>
      <c r="N329" s="321"/>
      <c r="O329" s="321"/>
    </row>
    <row r="330" spans="1:15" s="137" customFormat="1" ht="19.5" customHeight="1">
      <c r="A330" s="142" t="s">
        <v>275</v>
      </c>
      <c r="B330" s="170" t="s">
        <v>29</v>
      </c>
      <c r="C330" s="130"/>
      <c r="D330" s="130"/>
      <c r="E330" s="276"/>
      <c r="F330" s="323"/>
      <c r="G330" s="323"/>
      <c r="H330" s="323"/>
      <c r="I330" s="327"/>
      <c r="J330" s="321"/>
      <c r="K330" s="321"/>
      <c r="L330" s="321"/>
      <c r="M330" s="321"/>
      <c r="N330" s="321"/>
      <c r="O330" s="321"/>
    </row>
    <row r="331" spans="1:15" s="137" customFormat="1" ht="19.5" customHeight="1">
      <c r="A331" s="155" t="s">
        <v>277</v>
      </c>
      <c r="B331" s="156"/>
      <c r="C331" s="157" t="s">
        <v>276</v>
      </c>
      <c r="D331" s="158"/>
      <c r="E331" s="280"/>
      <c r="F331" s="334"/>
      <c r="G331" s="334"/>
      <c r="H331" s="334"/>
      <c r="I331" s="327"/>
      <c r="J331" s="321"/>
      <c r="K331" s="321"/>
      <c r="L331" s="321"/>
      <c r="M331" s="321"/>
      <c r="N331" s="321"/>
      <c r="O331" s="321"/>
    </row>
    <row r="332" spans="1:15" s="137" customFormat="1" ht="19.5" customHeight="1">
      <c r="A332" s="143" t="s">
        <v>278</v>
      </c>
      <c r="B332" s="144"/>
      <c r="C332" s="202" t="s">
        <v>340</v>
      </c>
      <c r="D332" s="203"/>
      <c r="E332" s="203"/>
      <c r="F332" s="203"/>
      <c r="G332" s="203"/>
      <c r="H332" s="203"/>
      <c r="I332" s="327"/>
      <c r="J332" s="321"/>
      <c r="K332" s="321"/>
      <c r="L332" s="321"/>
      <c r="M332" s="321"/>
      <c r="N332" s="321"/>
      <c r="O332" s="321"/>
    </row>
    <row r="333" spans="1:15" s="137" customFormat="1" ht="29.25" customHeight="1">
      <c r="A333" s="145" t="s">
        <v>279</v>
      </c>
      <c r="B333" s="146"/>
      <c r="C333" s="147" t="s">
        <v>234</v>
      </c>
      <c r="D333" s="148" t="s">
        <v>7</v>
      </c>
      <c r="E333" s="287"/>
      <c r="F333" s="335">
        <v>1285.0999999999999</v>
      </c>
      <c r="G333" s="336">
        <v>1283.9000000000001</v>
      </c>
      <c r="H333" s="326">
        <v>2569</v>
      </c>
      <c r="I333" s="341"/>
      <c r="J333" s="321"/>
      <c r="K333" s="321">
        <f>I333+J333</f>
        <v>0</v>
      </c>
      <c r="L333" s="321">
        <f>H333*I333</f>
        <v>0</v>
      </c>
      <c r="M333" s="321">
        <f>H333*J333</f>
        <v>0</v>
      </c>
      <c r="N333" s="321">
        <f>SUM(L333:M333)</f>
        <v>0</v>
      </c>
      <c r="O333" s="321"/>
    </row>
    <row r="334" spans="1:15" s="137" customFormat="1" ht="19.5" customHeight="1">
      <c r="A334" s="149"/>
      <c r="B334" s="150"/>
      <c r="C334" s="151" t="s">
        <v>164</v>
      </c>
      <c r="D334" s="152" t="s">
        <v>21</v>
      </c>
      <c r="E334" s="279">
        <v>0.15</v>
      </c>
      <c r="F334" s="329">
        <v>192.77</v>
      </c>
      <c r="G334" s="330">
        <v>192.59</v>
      </c>
      <c r="H334" s="331">
        <v>385.36</v>
      </c>
      <c r="I334" s="327"/>
      <c r="J334" s="321"/>
      <c r="K334" s="321"/>
      <c r="L334" s="321"/>
      <c r="M334" s="321"/>
      <c r="N334" s="321"/>
      <c r="O334" s="321"/>
    </row>
    <row r="335" spans="1:15" s="137" customFormat="1" ht="19.5" customHeight="1">
      <c r="A335" s="149"/>
      <c r="B335" s="150"/>
      <c r="C335" s="168" t="s">
        <v>233</v>
      </c>
      <c r="D335" s="162" t="s">
        <v>8</v>
      </c>
      <c r="E335" s="288">
        <v>2.4</v>
      </c>
      <c r="F335" s="329">
        <v>3084.24</v>
      </c>
      <c r="G335" s="330">
        <v>3081.36</v>
      </c>
      <c r="H335" s="331">
        <v>6165.6</v>
      </c>
      <c r="I335" s="327"/>
      <c r="J335" s="321"/>
      <c r="K335" s="321"/>
      <c r="L335" s="321"/>
      <c r="M335" s="321"/>
      <c r="N335" s="321"/>
      <c r="O335" s="321"/>
    </row>
    <row r="336" spans="1:15" s="137" customFormat="1" ht="19.5" customHeight="1">
      <c r="A336" s="145" t="s">
        <v>280</v>
      </c>
      <c r="B336" s="159"/>
      <c r="C336" s="160" t="s">
        <v>247</v>
      </c>
      <c r="D336" s="161" t="s">
        <v>7</v>
      </c>
      <c r="E336" s="286"/>
      <c r="F336" s="337">
        <v>1285.0999999999999</v>
      </c>
      <c r="G336" s="336">
        <v>1283.9000000000001</v>
      </c>
      <c r="H336" s="326">
        <v>2569</v>
      </c>
      <c r="I336" s="327"/>
      <c r="J336" s="321"/>
      <c r="K336" s="321">
        <f>I336+J336</f>
        <v>0</v>
      </c>
      <c r="L336" s="321">
        <f>H336*I336</f>
        <v>0</v>
      </c>
      <c r="M336" s="321">
        <f>H336*J336</f>
        <v>0</v>
      </c>
      <c r="N336" s="321">
        <f>SUM(L336:M336)</f>
        <v>0</v>
      </c>
      <c r="O336" s="321"/>
    </row>
    <row r="337" spans="1:15" s="137" customFormat="1" ht="19.5" customHeight="1">
      <c r="A337" s="149"/>
      <c r="B337" s="150"/>
      <c r="C337" s="151" t="s">
        <v>248</v>
      </c>
      <c r="D337" s="164" t="s">
        <v>8</v>
      </c>
      <c r="E337" s="284">
        <v>0.2</v>
      </c>
      <c r="F337" s="329">
        <v>257.02</v>
      </c>
      <c r="G337" s="330">
        <v>256.77999999999997</v>
      </c>
      <c r="H337" s="331">
        <v>513.79999999999995</v>
      </c>
      <c r="I337" s="327"/>
      <c r="J337" s="321"/>
      <c r="K337" s="321"/>
      <c r="L337" s="321"/>
      <c r="M337" s="321"/>
      <c r="N337" s="321"/>
      <c r="O337" s="321"/>
    </row>
    <row r="338" spans="1:15" s="137" customFormat="1" ht="29.25" customHeight="1">
      <c r="A338" s="145" t="s">
        <v>339</v>
      </c>
      <c r="B338" s="159"/>
      <c r="C338" s="160" t="s">
        <v>129</v>
      </c>
      <c r="D338" s="161" t="s">
        <v>7</v>
      </c>
      <c r="E338" s="286"/>
      <c r="F338" s="337">
        <v>56.6</v>
      </c>
      <c r="G338" s="336">
        <v>56.6</v>
      </c>
      <c r="H338" s="326">
        <v>113.2</v>
      </c>
      <c r="I338" s="327"/>
      <c r="J338" s="321"/>
      <c r="K338" s="321">
        <f>I338+J338</f>
        <v>0</v>
      </c>
      <c r="L338" s="321">
        <f>H338*I338</f>
        <v>0</v>
      </c>
      <c r="M338" s="321">
        <f>H338*J338</f>
        <v>0</v>
      </c>
      <c r="N338" s="321">
        <f>SUM(L338:M338)</f>
        <v>0</v>
      </c>
      <c r="O338" s="321"/>
    </row>
    <row r="339" spans="1:15" s="137" customFormat="1" ht="19.5" customHeight="1">
      <c r="A339" s="149"/>
      <c r="B339" s="150"/>
      <c r="C339" s="163" t="s">
        <v>128</v>
      </c>
      <c r="D339" s="164" t="s">
        <v>7</v>
      </c>
      <c r="E339" s="284">
        <v>1.02</v>
      </c>
      <c r="F339" s="329">
        <v>57.7</v>
      </c>
      <c r="G339" s="330">
        <v>57.7</v>
      </c>
      <c r="H339" s="331">
        <v>115.4</v>
      </c>
      <c r="I339" s="327"/>
      <c r="J339" s="321"/>
      <c r="K339" s="321"/>
      <c r="L339" s="321"/>
      <c r="M339" s="321"/>
      <c r="N339" s="321"/>
      <c r="O339" s="321"/>
    </row>
    <row r="340" spans="1:15" s="137" customFormat="1" ht="19.5" customHeight="1">
      <c r="A340" s="155" t="s">
        <v>281</v>
      </c>
      <c r="B340" s="156"/>
      <c r="C340" s="204" t="s">
        <v>36</v>
      </c>
      <c r="D340" s="205"/>
      <c r="E340" s="205"/>
      <c r="F340" s="205"/>
      <c r="G340" s="205"/>
      <c r="H340" s="205"/>
      <c r="I340" s="327"/>
      <c r="J340" s="321"/>
      <c r="K340" s="321"/>
      <c r="L340" s="321"/>
      <c r="M340" s="321"/>
      <c r="N340" s="321"/>
      <c r="O340" s="321"/>
    </row>
    <row r="341" spans="1:15" s="137" customFormat="1" ht="19.5" customHeight="1">
      <c r="A341" s="143" t="s">
        <v>282</v>
      </c>
      <c r="B341" s="144"/>
      <c r="C341" s="131" t="s">
        <v>337</v>
      </c>
      <c r="D341" s="132"/>
      <c r="E341" s="277"/>
      <c r="F341" s="324"/>
      <c r="G341" s="324"/>
      <c r="H341" s="324"/>
      <c r="I341" s="327"/>
      <c r="J341" s="321"/>
      <c r="K341" s="321"/>
      <c r="L341" s="321"/>
      <c r="M341" s="321"/>
      <c r="N341" s="321"/>
      <c r="O341" s="321"/>
    </row>
    <row r="342" spans="1:15" s="137" customFormat="1" ht="19.5" customHeight="1">
      <c r="A342" s="145" t="s">
        <v>283</v>
      </c>
      <c r="B342" s="146"/>
      <c r="C342" s="147" t="s">
        <v>30</v>
      </c>
      <c r="D342" s="148" t="s">
        <v>7</v>
      </c>
      <c r="E342" s="287"/>
      <c r="F342" s="335">
        <v>5989.4</v>
      </c>
      <c r="G342" s="336">
        <v>5992.5</v>
      </c>
      <c r="H342" s="326">
        <v>11981.9</v>
      </c>
      <c r="I342" s="327"/>
      <c r="J342" s="321"/>
      <c r="K342" s="321">
        <f>I342+J342</f>
        <v>0</v>
      </c>
      <c r="L342" s="321">
        <f>H342*I342</f>
        <v>0</v>
      </c>
      <c r="M342" s="321">
        <f>H342*J342</f>
        <v>0</v>
      </c>
      <c r="N342" s="321">
        <f>SUM(L342:M342)</f>
        <v>0</v>
      </c>
      <c r="O342" s="321"/>
    </row>
    <row r="343" spans="1:15" s="137" customFormat="1" ht="19.5" customHeight="1">
      <c r="A343" s="149"/>
      <c r="B343" s="150"/>
      <c r="C343" s="151" t="s">
        <v>164</v>
      </c>
      <c r="D343" s="162" t="s">
        <v>21</v>
      </c>
      <c r="E343" s="288">
        <v>0.15</v>
      </c>
      <c r="F343" s="329">
        <v>898.41</v>
      </c>
      <c r="G343" s="330">
        <v>898.88</v>
      </c>
      <c r="H343" s="331">
        <v>1797.29</v>
      </c>
      <c r="I343" s="327"/>
      <c r="J343" s="321"/>
      <c r="K343" s="321"/>
      <c r="L343" s="321"/>
      <c r="M343" s="321"/>
      <c r="N343" s="321"/>
      <c r="O343" s="321"/>
    </row>
    <row r="344" spans="1:15" s="137" customFormat="1" ht="19.5" customHeight="1">
      <c r="A344" s="149"/>
      <c r="B344" s="150"/>
      <c r="C344" s="168" t="s">
        <v>233</v>
      </c>
      <c r="D344" s="152" t="s">
        <v>8</v>
      </c>
      <c r="E344" s="279">
        <v>1.2</v>
      </c>
      <c r="F344" s="329">
        <v>7187.28</v>
      </c>
      <c r="G344" s="330">
        <v>7191</v>
      </c>
      <c r="H344" s="331">
        <v>14378.28</v>
      </c>
      <c r="I344" s="327"/>
      <c r="J344" s="321"/>
      <c r="K344" s="321"/>
      <c r="L344" s="321"/>
      <c r="M344" s="321"/>
      <c r="N344" s="321"/>
      <c r="O344" s="321"/>
    </row>
    <row r="345" spans="1:15" s="137" customFormat="1" ht="19.5" customHeight="1">
      <c r="A345" s="145" t="s">
        <v>284</v>
      </c>
      <c r="B345" s="159"/>
      <c r="C345" s="160" t="s">
        <v>247</v>
      </c>
      <c r="D345" s="161" t="s">
        <v>7</v>
      </c>
      <c r="E345" s="286"/>
      <c r="F345" s="337">
        <v>5989.4</v>
      </c>
      <c r="G345" s="336">
        <v>5992.5</v>
      </c>
      <c r="H345" s="326">
        <v>11981.9</v>
      </c>
      <c r="I345" s="327"/>
      <c r="J345" s="321"/>
      <c r="K345" s="321">
        <f>I345+J345</f>
        <v>0</v>
      </c>
      <c r="L345" s="321">
        <f>H345*I345</f>
        <v>0</v>
      </c>
      <c r="M345" s="321">
        <f>H345*J345</f>
        <v>0</v>
      </c>
      <c r="N345" s="321">
        <f>SUM(L345:M345)</f>
        <v>0</v>
      </c>
      <c r="O345" s="321"/>
    </row>
    <row r="346" spans="1:15" s="137" customFormat="1" ht="19.5" customHeight="1">
      <c r="A346" s="149"/>
      <c r="B346" s="150"/>
      <c r="C346" s="151" t="s">
        <v>249</v>
      </c>
      <c r="D346" s="164" t="s">
        <v>8</v>
      </c>
      <c r="E346" s="284">
        <v>0.2</v>
      </c>
      <c r="F346" s="329">
        <v>1197.8800000000001</v>
      </c>
      <c r="G346" s="330">
        <v>1198.5</v>
      </c>
      <c r="H346" s="331">
        <v>2396.38</v>
      </c>
      <c r="I346" s="327"/>
      <c r="J346" s="321"/>
      <c r="K346" s="321"/>
      <c r="L346" s="321"/>
      <c r="M346" s="321"/>
      <c r="N346" s="321"/>
      <c r="O346" s="321"/>
    </row>
    <row r="347" spans="1:15" s="137" customFormat="1" ht="26.25" customHeight="1">
      <c r="A347" s="145" t="s">
        <v>341</v>
      </c>
      <c r="B347" s="159"/>
      <c r="C347" s="147" t="s">
        <v>141</v>
      </c>
      <c r="D347" s="161" t="s">
        <v>7</v>
      </c>
      <c r="E347" s="281"/>
      <c r="F347" s="337">
        <v>19.25</v>
      </c>
      <c r="G347" s="336">
        <v>17.7</v>
      </c>
      <c r="H347" s="326">
        <v>36.950000000000003</v>
      </c>
      <c r="I347" s="327"/>
      <c r="J347" s="321"/>
      <c r="K347" s="321">
        <f>I347+J347</f>
        <v>0</v>
      </c>
      <c r="L347" s="321">
        <f>H347*I347</f>
        <v>0</v>
      </c>
      <c r="M347" s="321">
        <f>H347*J347</f>
        <v>0</v>
      </c>
      <c r="N347" s="321">
        <f>SUM(L347:M347)</f>
        <v>0</v>
      </c>
      <c r="O347" s="321"/>
    </row>
    <row r="348" spans="1:15" s="137" customFormat="1" ht="15.75" customHeight="1">
      <c r="A348" s="149"/>
      <c r="B348" s="150"/>
      <c r="C348" s="151" t="s">
        <v>342</v>
      </c>
      <c r="D348" s="152" t="s">
        <v>7</v>
      </c>
      <c r="E348" s="279">
        <v>1.1299999999999999</v>
      </c>
      <c r="F348" s="329">
        <v>21.75</v>
      </c>
      <c r="G348" s="330">
        <v>20</v>
      </c>
      <c r="H348" s="331">
        <v>41.75</v>
      </c>
      <c r="I348" s="327"/>
      <c r="J348" s="321"/>
      <c r="K348" s="321"/>
      <c r="L348" s="321"/>
      <c r="M348" s="321"/>
      <c r="N348" s="321"/>
      <c r="O348" s="321"/>
    </row>
    <row r="349" spans="1:15" s="137" customFormat="1" ht="15.75" customHeight="1">
      <c r="A349" s="149"/>
      <c r="B349" s="150"/>
      <c r="C349" s="151" t="s">
        <v>343</v>
      </c>
      <c r="D349" s="152" t="s">
        <v>20</v>
      </c>
      <c r="E349" s="279">
        <v>0.81</v>
      </c>
      <c r="F349" s="329">
        <v>16</v>
      </c>
      <c r="G349" s="330">
        <v>14</v>
      </c>
      <c r="H349" s="331">
        <v>30</v>
      </c>
      <c r="I349" s="327"/>
      <c r="J349" s="321"/>
      <c r="K349" s="321"/>
      <c r="L349" s="321"/>
      <c r="M349" s="321"/>
      <c r="N349" s="321"/>
      <c r="O349" s="321"/>
    </row>
    <row r="350" spans="1:15" s="137" customFormat="1" ht="15.75" customHeight="1">
      <c r="A350" s="149"/>
      <c r="B350" s="150"/>
      <c r="C350" s="151" t="s">
        <v>32</v>
      </c>
      <c r="D350" s="152" t="s">
        <v>18</v>
      </c>
      <c r="E350" s="279">
        <v>2</v>
      </c>
      <c r="F350" s="329">
        <v>38.5</v>
      </c>
      <c r="G350" s="330">
        <v>35.4</v>
      </c>
      <c r="H350" s="331">
        <v>73.900000000000006</v>
      </c>
      <c r="I350" s="327"/>
      <c r="J350" s="321"/>
      <c r="K350" s="321"/>
      <c r="L350" s="321"/>
      <c r="M350" s="321"/>
      <c r="N350" s="321"/>
      <c r="O350" s="321"/>
    </row>
    <row r="351" spans="1:15" s="137" customFormat="1" ht="15.75" customHeight="1" thickBot="1">
      <c r="A351" s="149"/>
      <c r="B351" s="150"/>
      <c r="C351" s="151" t="s">
        <v>33</v>
      </c>
      <c r="D351" s="152" t="s">
        <v>18</v>
      </c>
      <c r="E351" s="279">
        <v>0.64</v>
      </c>
      <c r="F351" s="329">
        <v>12.32</v>
      </c>
      <c r="G351" s="330">
        <v>11.33</v>
      </c>
      <c r="H351" s="331">
        <v>23.65</v>
      </c>
      <c r="I351" s="327"/>
      <c r="J351" s="321"/>
      <c r="K351" s="321"/>
      <c r="L351" s="321"/>
      <c r="M351" s="321"/>
      <c r="N351" s="321"/>
      <c r="O351" s="321"/>
    </row>
    <row r="352" spans="1:15" s="102" customFormat="1" ht="27" customHeight="1" thickBot="1">
      <c r="A352" s="221" t="s">
        <v>377</v>
      </c>
      <c r="B352" s="222"/>
      <c r="C352" s="222"/>
      <c r="D352" s="222"/>
      <c r="E352" s="222"/>
      <c r="F352" s="222"/>
      <c r="G352" s="222"/>
      <c r="H352" s="222"/>
      <c r="I352" s="327"/>
      <c r="J352" s="321"/>
      <c r="K352" s="328"/>
      <c r="L352" s="328"/>
      <c r="M352" s="328"/>
      <c r="N352" s="328"/>
      <c r="O352" s="328"/>
    </row>
    <row r="353" spans="1:15" s="137" customFormat="1" ht="27" customHeight="1" thickBot="1">
      <c r="A353" s="223" t="s">
        <v>67</v>
      </c>
      <c r="B353" s="224"/>
      <c r="C353" s="224"/>
      <c r="D353" s="224"/>
      <c r="E353" s="224"/>
      <c r="F353" s="224"/>
      <c r="G353" s="224"/>
      <c r="H353" s="224"/>
      <c r="I353" s="327"/>
      <c r="J353" s="321"/>
      <c r="K353" s="321"/>
      <c r="L353" s="321"/>
      <c r="M353" s="321"/>
      <c r="N353" s="321"/>
      <c r="O353" s="321"/>
    </row>
    <row r="354" spans="1:15" s="102" customFormat="1" ht="27.75" customHeight="1">
      <c r="A354" s="145" t="s">
        <v>6</v>
      </c>
      <c r="B354" s="146"/>
      <c r="C354" s="147" t="s">
        <v>39</v>
      </c>
      <c r="D354" s="171"/>
      <c r="E354" s="278"/>
      <c r="F354" s="325"/>
      <c r="G354" s="326"/>
      <c r="H354" s="326"/>
      <c r="I354" s="327"/>
      <c r="J354" s="321"/>
      <c r="K354" s="328"/>
      <c r="L354" s="328"/>
      <c r="M354" s="328"/>
      <c r="N354" s="328"/>
      <c r="O354" s="328"/>
    </row>
    <row r="355" spans="1:15" s="102" customFormat="1" ht="18" customHeight="1">
      <c r="A355" s="215" t="s">
        <v>40</v>
      </c>
      <c r="B355" s="217"/>
      <c r="C355" s="219" t="s">
        <v>41</v>
      </c>
      <c r="D355" s="172" t="s">
        <v>20</v>
      </c>
      <c r="E355" s="289"/>
      <c r="F355" s="344"/>
      <c r="G355" s="331"/>
      <c r="H355" s="345">
        <v>4</v>
      </c>
      <c r="I355" s="327"/>
      <c r="J355" s="321"/>
      <c r="K355" s="328">
        <f>I355+J355</f>
        <v>0</v>
      </c>
      <c r="L355" s="328">
        <f>H355*I355</f>
        <v>0</v>
      </c>
      <c r="M355" s="328">
        <f>H355*J355</f>
        <v>0</v>
      </c>
      <c r="N355" s="328">
        <f>SUM(L355:M355)</f>
        <v>0</v>
      </c>
      <c r="O355" s="328"/>
    </row>
    <row r="356" spans="1:15" s="102" customFormat="1" ht="14.25" customHeight="1">
      <c r="A356" s="216"/>
      <c r="B356" s="218"/>
      <c r="C356" s="220"/>
      <c r="D356" s="172" t="s">
        <v>42</v>
      </c>
      <c r="E356" s="289"/>
      <c r="F356" s="344"/>
      <c r="G356" s="331"/>
      <c r="H356" s="345">
        <v>4.88</v>
      </c>
      <c r="I356" s="327"/>
      <c r="J356" s="321"/>
      <c r="K356" s="328"/>
      <c r="L356" s="328"/>
      <c r="M356" s="328"/>
      <c r="N356" s="328"/>
      <c r="O356" s="328"/>
    </row>
    <row r="357" spans="1:15" s="102" customFormat="1" ht="26.25" customHeight="1">
      <c r="A357" s="149"/>
      <c r="B357" s="150"/>
      <c r="C357" s="173" t="s">
        <v>43</v>
      </c>
      <c r="D357" s="162" t="s">
        <v>42</v>
      </c>
      <c r="E357" s="282">
        <v>1.02</v>
      </c>
      <c r="F357" s="344"/>
      <c r="G357" s="331"/>
      <c r="H357" s="331">
        <v>4.9800000000000004</v>
      </c>
      <c r="I357" s="327"/>
      <c r="J357" s="328"/>
      <c r="K357" s="328"/>
      <c r="L357" s="328"/>
      <c r="M357" s="328"/>
      <c r="N357" s="328"/>
      <c r="O357" s="328"/>
    </row>
    <row r="358" spans="1:15" s="102" customFormat="1" ht="15" customHeight="1">
      <c r="A358" s="174"/>
      <c r="B358" s="175"/>
      <c r="C358" s="173" t="s">
        <v>44</v>
      </c>
      <c r="D358" s="162" t="s">
        <v>20</v>
      </c>
      <c r="E358" s="282">
        <v>1</v>
      </c>
      <c r="F358" s="338"/>
      <c r="G358" s="346"/>
      <c r="H358" s="340">
        <v>4</v>
      </c>
      <c r="I358" s="327"/>
      <c r="J358" s="328"/>
      <c r="K358" s="328"/>
      <c r="L358" s="328"/>
      <c r="M358" s="328"/>
      <c r="N358" s="328"/>
      <c r="O358" s="328"/>
    </row>
    <row r="359" spans="1:15" s="102" customFormat="1" ht="15" customHeight="1" thickBot="1">
      <c r="A359" s="174"/>
      <c r="B359" s="175"/>
      <c r="C359" s="173" t="s">
        <v>45</v>
      </c>
      <c r="D359" s="162" t="s">
        <v>20</v>
      </c>
      <c r="E359" s="282">
        <v>0.5</v>
      </c>
      <c r="F359" s="338"/>
      <c r="G359" s="346"/>
      <c r="H359" s="340">
        <v>2</v>
      </c>
      <c r="I359" s="327"/>
      <c r="J359" s="328"/>
      <c r="K359" s="328"/>
      <c r="L359" s="328"/>
      <c r="M359" s="328"/>
      <c r="N359" s="328"/>
      <c r="O359" s="328"/>
    </row>
    <row r="360" spans="1:15" s="137" customFormat="1" ht="27" customHeight="1" thickBot="1">
      <c r="A360" s="223" t="s">
        <v>68</v>
      </c>
      <c r="B360" s="224"/>
      <c r="C360" s="224"/>
      <c r="D360" s="224"/>
      <c r="E360" s="224"/>
      <c r="F360" s="224"/>
      <c r="G360" s="224"/>
      <c r="H360" s="224"/>
      <c r="I360" s="327"/>
      <c r="J360" s="321"/>
      <c r="K360" s="321"/>
      <c r="L360" s="321"/>
      <c r="M360" s="321"/>
      <c r="N360" s="321"/>
      <c r="O360" s="321"/>
    </row>
    <row r="361" spans="1:15" s="102" customFormat="1" ht="22.5" customHeight="1">
      <c r="A361" s="145" t="s">
        <v>6</v>
      </c>
      <c r="B361" s="146"/>
      <c r="C361" s="147" t="s">
        <v>47</v>
      </c>
      <c r="D361" s="171"/>
      <c r="E361" s="278"/>
      <c r="F361" s="325"/>
      <c r="G361" s="326"/>
      <c r="H361" s="326"/>
      <c r="I361" s="327"/>
      <c r="J361" s="328"/>
      <c r="K361" s="328"/>
      <c r="L361" s="328"/>
      <c r="M361" s="328"/>
      <c r="N361" s="328"/>
      <c r="O361" s="328"/>
    </row>
    <row r="362" spans="1:15" s="102" customFormat="1" ht="18.75" customHeight="1">
      <c r="A362" s="215" t="s">
        <v>40</v>
      </c>
      <c r="B362" s="217"/>
      <c r="C362" s="219" t="s">
        <v>48</v>
      </c>
      <c r="D362" s="172" t="s">
        <v>20</v>
      </c>
      <c r="E362" s="289"/>
      <c r="F362" s="338"/>
      <c r="G362" s="346"/>
      <c r="H362" s="345">
        <v>8</v>
      </c>
      <c r="I362" s="327"/>
      <c r="J362" s="328"/>
      <c r="K362" s="328">
        <f>I362+J362</f>
        <v>0</v>
      </c>
      <c r="L362" s="328">
        <f>H362*I362</f>
        <v>0</v>
      </c>
      <c r="M362" s="328">
        <f>H362*J362</f>
        <v>0</v>
      </c>
      <c r="N362" s="328">
        <f>SUM(L362:M362)</f>
        <v>0</v>
      </c>
      <c r="O362" s="328"/>
    </row>
    <row r="363" spans="1:15" s="102" customFormat="1" ht="18.75" customHeight="1">
      <c r="A363" s="216"/>
      <c r="B363" s="218"/>
      <c r="C363" s="220"/>
      <c r="D363" s="172" t="s">
        <v>42</v>
      </c>
      <c r="E363" s="290"/>
      <c r="F363" s="338"/>
      <c r="G363" s="346"/>
      <c r="H363" s="345">
        <v>9.76</v>
      </c>
      <c r="I363" s="327"/>
      <c r="J363" s="328"/>
      <c r="K363" s="328"/>
      <c r="L363" s="328"/>
      <c r="M363" s="328"/>
      <c r="N363" s="328"/>
      <c r="O363" s="328"/>
    </row>
    <row r="364" spans="1:15" s="102" customFormat="1" ht="30">
      <c r="A364" s="174"/>
      <c r="B364" s="175"/>
      <c r="C364" s="173" t="s">
        <v>49</v>
      </c>
      <c r="D364" s="162" t="s">
        <v>42</v>
      </c>
      <c r="E364" s="282">
        <v>1.02</v>
      </c>
      <c r="F364" s="338"/>
      <c r="G364" s="346"/>
      <c r="H364" s="340">
        <v>9.9600000000000009</v>
      </c>
      <c r="I364" s="327"/>
      <c r="J364" s="328"/>
      <c r="K364" s="328"/>
      <c r="L364" s="328"/>
      <c r="M364" s="328"/>
      <c r="N364" s="328"/>
      <c r="O364" s="328"/>
    </row>
    <row r="365" spans="1:15" s="102" customFormat="1">
      <c r="A365" s="174"/>
      <c r="B365" s="175"/>
      <c r="C365" s="173" t="s">
        <v>44</v>
      </c>
      <c r="D365" s="162" t="s">
        <v>20</v>
      </c>
      <c r="E365" s="282">
        <v>1</v>
      </c>
      <c r="F365" s="338"/>
      <c r="G365" s="346"/>
      <c r="H365" s="340">
        <v>8</v>
      </c>
      <c r="I365" s="327"/>
      <c r="J365" s="328"/>
      <c r="K365" s="328"/>
      <c r="L365" s="328"/>
      <c r="M365" s="328"/>
      <c r="N365" s="328"/>
      <c r="O365" s="328"/>
    </row>
    <row r="366" spans="1:15" s="102" customFormat="1">
      <c r="A366" s="174"/>
      <c r="B366" s="175"/>
      <c r="C366" s="173" t="s">
        <v>50</v>
      </c>
      <c r="D366" s="162" t="s">
        <v>20</v>
      </c>
      <c r="E366" s="282">
        <v>0.5</v>
      </c>
      <c r="F366" s="338"/>
      <c r="G366" s="346"/>
      <c r="H366" s="340">
        <v>4</v>
      </c>
      <c r="I366" s="327"/>
      <c r="J366" s="328"/>
      <c r="K366" s="328"/>
      <c r="L366" s="328"/>
      <c r="M366" s="328"/>
      <c r="N366" s="328"/>
      <c r="O366" s="328"/>
    </row>
    <row r="367" spans="1:15" s="102" customFormat="1" ht="16.5" customHeight="1">
      <c r="A367" s="215" t="s">
        <v>51</v>
      </c>
      <c r="B367" s="217"/>
      <c r="C367" s="219" t="s">
        <v>52</v>
      </c>
      <c r="D367" s="172" t="s">
        <v>20</v>
      </c>
      <c r="E367" s="289"/>
      <c r="F367" s="338"/>
      <c r="G367" s="346"/>
      <c r="H367" s="345">
        <v>12</v>
      </c>
      <c r="I367" s="327"/>
      <c r="J367" s="328"/>
      <c r="K367" s="328">
        <f>I367+J367</f>
        <v>0</v>
      </c>
      <c r="L367" s="328">
        <f>H367*I367</f>
        <v>0</v>
      </c>
      <c r="M367" s="328">
        <f>H367*J367</f>
        <v>0</v>
      </c>
      <c r="N367" s="328">
        <f>SUM(L367:M367)</f>
        <v>0</v>
      </c>
      <c r="O367" s="328"/>
    </row>
    <row r="368" spans="1:15" s="102" customFormat="1" ht="16.5" customHeight="1">
      <c r="A368" s="216"/>
      <c r="B368" s="218"/>
      <c r="C368" s="220"/>
      <c r="D368" s="172" t="s">
        <v>42</v>
      </c>
      <c r="E368" s="290"/>
      <c r="F368" s="338"/>
      <c r="G368" s="346"/>
      <c r="H368" s="345">
        <v>17.16</v>
      </c>
      <c r="I368" s="327"/>
      <c r="J368" s="328"/>
      <c r="K368" s="328"/>
      <c r="L368" s="328"/>
      <c r="M368" s="328"/>
      <c r="N368" s="328"/>
      <c r="O368" s="328"/>
    </row>
    <row r="369" spans="1:15" s="102" customFormat="1" ht="30">
      <c r="A369" s="174"/>
      <c r="B369" s="175"/>
      <c r="C369" s="173" t="s">
        <v>53</v>
      </c>
      <c r="D369" s="162" t="s">
        <v>42</v>
      </c>
      <c r="E369" s="282">
        <v>1.02</v>
      </c>
      <c r="F369" s="338"/>
      <c r="G369" s="346"/>
      <c r="H369" s="340">
        <v>17.5</v>
      </c>
      <c r="I369" s="327"/>
      <c r="J369" s="328"/>
      <c r="K369" s="328"/>
      <c r="L369" s="328"/>
      <c r="M369" s="328"/>
      <c r="N369" s="328"/>
      <c r="O369" s="328"/>
    </row>
    <row r="370" spans="1:15" s="102" customFormat="1">
      <c r="A370" s="174"/>
      <c r="B370" s="175"/>
      <c r="C370" s="173" t="s">
        <v>44</v>
      </c>
      <c r="D370" s="162" t="s">
        <v>20</v>
      </c>
      <c r="E370" s="282">
        <v>1</v>
      </c>
      <c r="F370" s="338"/>
      <c r="G370" s="346"/>
      <c r="H370" s="340">
        <v>12</v>
      </c>
      <c r="I370" s="327"/>
      <c r="J370" s="328"/>
      <c r="K370" s="328"/>
      <c r="L370" s="328"/>
      <c r="M370" s="328"/>
      <c r="N370" s="328"/>
      <c r="O370" s="328"/>
    </row>
    <row r="371" spans="1:15" s="102" customFormat="1">
      <c r="A371" s="174"/>
      <c r="B371" s="175"/>
      <c r="C371" s="173" t="s">
        <v>50</v>
      </c>
      <c r="D371" s="162" t="s">
        <v>20</v>
      </c>
      <c r="E371" s="282">
        <v>0.5</v>
      </c>
      <c r="F371" s="338"/>
      <c r="G371" s="346"/>
      <c r="H371" s="340">
        <v>6</v>
      </c>
      <c r="I371" s="327"/>
      <c r="J371" s="328"/>
      <c r="K371" s="328"/>
      <c r="L371" s="328"/>
      <c r="M371" s="328"/>
      <c r="N371" s="328"/>
      <c r="O371" s="328"/>
    </row>
    <row r="372" spans="1:15" s="102" customFormat="1" ht="19.5" customHeight="1">
      <c r="A372" s="225" t="s">
        <v>54</v>
      </c>
      <c r="B372" s="226"/>
      <c r="C372" s="219" t="s">
        <v>55</v>
      </c>
      <c r="D372" s="172" t="s">
        <v>20</v>
      </c>
      <c r="E372" s="289"/>
      <c r="F372" s="338"/>
      <c r="G372" s="346"/>
      <c r="H372" s="345">
        <v>120</v>
      </c>
      <c r="I372" s="327"/>
      <c r="J372" s="328"/>
      <c r="K372" s="328">
        <f>I372+J372</f>
        <v>0</v>
      </c>
      <c r="L372" s="328">
        <f>H372*I372</f>
        <v>0</v>
      </c>
      <c r="M372" s="328">
        <f>H372*J372</f>
        <v>0</v>
      </c>
      <c r="N372" s="328">
        <f>SUM(L372:M372)</f>
        <v>0</v>
      </c>
      <c r="O372" s="328"/>
    </row>
    <row r="373" spans="1:15" s="102" customFormat="1" ht="19.5" customHeight="1">
      <c r="A373" s="225"/>
      <c r="B373" s="226"/>
      <c r="C373" s="220"/>
      <c r="D373" s="172" t="s">
        <v>42</v>
      </c>
      <c r="E373" s="290"/>
      <c r="F373" s="338"/>
      <c r="G373" s="346"/>
      <c r="H373" s="345">
        <v>187.2</v>
      </c>
      <c r="I373" s="327"/>
      <c r="J373" s="328"/>
      <c r="K373" s="328"/>
      <c r="L373" s="328"/>
      <c r="M373" s="328"/>
      <c r="N373" s="328"/>
      <c r="O373" s="328"/>
    </row>
    <row r="374" spans="1:15" s="102" customFormat="1" ht="30">
      <c r="A374" s="174"/>
      <c r="B374" s="175"/>
      <c r="C374" s="173" t="s">
        <v>56</v>
      </c>
      <c r="D374" s="162" t="s">
        <v>42</v>
      </c>
      <c r="E374" s="282">
        <v>1.02</v>
      </c>
      <c r="F374" s="338"/>
      <c r="G374" s="346"/>
      <c r="H374" s="340">
        <v>190.94</v>
      </c>
      <c r="I374" s="327"/>
      <c r="J374" s="328"/>
      <c r="K374" s="328"/>
      <c r="L374" s="328"/>
      <c r="M374" s="328"/>
      <c r="N374" s="328"/>
      <c r="O374" s="328"/>
    </row>
    <row r="375" spans="1:15" s="102" customFormat="1">
      <c r="A375" s="174"/>
      <c r="B375" s="175"/>
      <c r="C375" s="173" t="s">
        <v>44</v>
      </c>
      <c r="D375" s="162" t="s">
        <v>20</v>
      </c>
      <c r="E375" s="282">
        <v>1</v>
      </c>
      <c r="F375" s="338"/>
      <c r="G375" s="346"/>
      <c r="H375" s="340">
        <v>120</v>
      </c>
      <c r="I375" s="327"/>
      <c r="J375" s="328"/>
      <c r="K375" s="328"/>
      <c r="L375" s="328"/>
      <c r="M375" s="328"/>
      <c r="N375" s="328"/>
      <c r="O375" s="328"/>
    </row>
    <row r="376" spans="1:15" s="102" customFormat="1">
      <c r="A376" s="174"/>
      <c r="B376" s="175"/>
      <c r="C376" s="173" t="s">
        <v>50</v>
      </c>
      <c r="D376" s="162" t="s">
        <v>20</v>
      </c>
      <c r="E376" s="282">
        <v>0.5</v>
      </c>
      <c r="F376" s="338"/>
      <c r="G376" s="346"/>
      <c r="H376" s="340">
        <v>60</v>
      </c>
      <c r="I376" s="327"/>
      <c r="J376" s="328"/>
      <c r="K376" s="328"/>
      <c r="L376" s="328"/>
      <c r="M376" s="328"/>
      <c r="N376" s="328"/>
      <c r="O376" s="328"/>
    </row>
    <row r="377" spans="1:15" s="102" customFormat="1" ht="19.5" customHeight="1">
      <c r="A377" s="225" t="s">
        <v>57</v>
      </c>
      <c r="B377" s="226"/>
      <c r="C377" s="219" t="s">
        <v>58</v>
      </c>
      <c r="D377" s="172" t="s">
        <v>20</v>
      </c>
      <c r="E377" s="289"/>
      <c r="F377" s="338"/>
      <c r="G377" s="346"/>
      <c r="H377" s="345">
        <v>328</v>
      </c>
      <c r="I377" s="327"/>
      <c r="J377" s="328"/>
      <c r="K377" s="328">
        <f>I377+J377</f>
        <v>0</v>
      </c>
      <c r="L377" s="328">
        <f>H377*I377</f>
        <v>0</v>
      </c>
      <c r="M377" s="328">
        <f>H377*J377</f>
        <v>0</v>
      </c>
      <c r="N377" s="328">
        <f>SUM(L377:M377)</f>
        <v>0</v>
      </c>
      <c r="O377" s="328"/>
    </row>
    <row r="378" spans="1:15" s="102" customFormat="1" ht="19.5" customHeight="1">
      <c r="A378" s="225"/>
      <c r="B378" s="226"/>
      <c r="C378" s="220"/>
      <c r="D378" s="172" t="s">
        <v>42</v>
      </c>
      <c r="E378" s="290"/>
      <c r="F378" s="338"/>
      <c r="G378" s="346"/>
      <c r="H378" s="345">
        <v>596.96</v>
      </c>
      <c r="I378" s="327"/>
      <c r="J378" s="328"/>
      <c r="K378" s="328"/>
      <c r="L378" s="328"/>
      <c r="M378" s="328"/>
      <c r="N378" s="328"/>
      <c r="O378" s="328"/>
    </row>
    <row r="379" spans="1:15" s="102" customFormat="1" ht="30">
      <c r="A379" s="174"/>
      <c r="B379" s="175"/>
      <c r="C379" s="173" t="s">
        <v>59</v>
      </c>
      <c r="D379" s="162" t="s">
        <v>42</v>
      </c>
      <c r="E379" s="282">
        <v>1.02</v>
      </c>
      <c r="F379" s="338"/>
      <c r="G379" s="346"/>
      <c r="H379" s="340">
        <v>608.9</v>
      </c>
      <c r="I379" s="327"/>
      <c r="J379" s="328"/>
      <c r="K379" s="328"/>
      <c r="L379" s="328"/>
      <c r="M379" s="328"/>
      <c r="N379" s="328"/>
      <c r="O379" s="328"/>
    </row>
    <row r="380" spans="1:15" s="102" customFormat="1">
      <c r="A380" s="174"/>
      <c r="B380" s="175"/>
      <c r="C380" s="173" t="s">
        <v>44</v>
      </c>
      <c r="D380" s="162" t="s">
        <v>20</v>
      </c>
      <c r="E380" s="282">
        <v>1</v>
      </c>
      <c r="F380" s="338"/>
      <c r="G380" s="346"/>
      <c r="H380" s="340">
        <v>328</v>
      </c>
      <c r="I380" s="327"/>
      <c r="J380" s="328"/>
      <c r="K380" s="328"/>
      <c r="L380" s="328"/>
      <c r="M380" s="328"/>
      <c r="N380" s="328"/>
      <c r="O380" s="328"/>
    </row>
    <row r="381" spans="1:15" s="102" customFormat="1">
      <c r="A381" s="174"/>
      <c r="B381" s="175"/>
      <c r="C381" s="173" t="s">
        <v>60</v>
      </c>
      <c r="D381" s="162" t="s">
        <v>20</v>
      </c>
      <c r="E381" s="282">
        <v>0.5</v>
      </c>
      <c r="F381" s="338"/>
      <c r="G381" s="346"/>
      <c r="H381" s="340">
        <v>164</v>
      </c>
      <c r="I381" s="327"/>
      <c r="J381" s="328"/>
      <c r="K381" s="328"/>
      <c r="L381" s="328"/>
      <c r="M381" s="328"/>
      <c r="N381" s="328"/>
      <c r="O381" s="328"/>
    </row>
    <row r="382" spans="1:15" s="102" customFormat="1" ht="19.5" customHeight="1">
      <c r="A382" s="225" t="s">
        <v>61</v>
      </c>
      <c r="B382" s="226"/>
      <c r="C382" s="219" t="s">
        <v>62</v>
      </c>
      <c r="D382" s="172" t="s">
        <v>20</v>
      </c>
      <c r="E382" s="289"/>
      <c r="F382" s="338"/>
      <c r="G382" s="346"/>
      <c r="H382" s="345">
        <v>168</v>
      </c>
      <c r="I382" s="327"/>
      <c r="J382" s="328"/>
      <c r="K382" s="328">
        <f>I382+J382</f>
        <v>0</v>
      </c>
      <c r="L382" s="328">
        <f>H382*I382</f>
        <v>0</v>
      </c>
      <c r="M382" s="328">
        <f>H382*J382</f>
        <v>0</v>
      </c>
      <c r="N382" s="328">
        <f>SUM(L382:M382)</f>
        <v>0</v>
      </c>
      <c r="O382" s="328"/>
    </row>
    <row r="383" spans="1:15" s="102" customFormat="1" ht="19.5" customHeight="1">
      <c r="A383" s="225"/>
      <c r="B383" s="226"/>
      <c r="C383" s="220"/>
      <c r="D383" s="172" t="s">
        <v>42</v>
      </c>
      <c r="E383" s="290"/>
      <c r="F383" s="338"/>
      <c r="G383" s="346"/>
      <c r="H383" s="345">
        <v>94.08</v>
      </c>
      <c r="I383" s="327"/>
      <c r="J383" s="328"/>
      <c r="K383" s="328"/>
      <c r="L383" s="328"/>
      <c r="M383" s="328"/>
      <c r="N383" s="328"/>
      <c r="O383" s="328"/>
    </row>
    <row r="384" spans="1:15" s="102" customFormat="1" ht="30">
      <c r="A384" s="174"/>
      <c r="B384" s="175"/>
      <c r="C384" s="173" t="s">
        <v>63</v>
      </c>
      <c r="D384" s="162" t="s">
        <v>42</v>
      </c>
      <c r="E384" s="282">
        <v>1.02</v>
      </c>
      <c r="F384" s="338"/>
      <c r="G384" s="346"/>
      <c r="H384" s="340">
        <v>95.96</v>
      </c>
      <c r="I384" s="327"/>
      <c r="J384" s="328"/>
      <c r="K384" s="328"/>
      <c r="L384" s="328"/>
      <c r="M384" s="328"/>
      <c r="N384" s="328"/>
      <c r="O384" s="328"/>
    </row>
    <row r="385" spans="1:15" s="102" customFormat="1">
      <c r="A385" s="174"/>
      <c r="B385" s="175"/>
      <c r="C385" s="173" t="s">
        <v>44</v>
      </c>
      <c r="D385" s="162" t="s">
        <v>20</v>
      </c>
      <c r="E385" s="282">
        <v>1</v>
      </c>
      <c r="F385" s="338"/>
      <c r="G385" s="346"/>
      <c r="H385" s="340">
        <v>168</v>
      </c>
      <c r="I385" s="327"/>
      <c r="J385" s="328"/>
      <c r="K385" s="328"/>
      <c r="L385" s="328"/>
      <c r="M385" s="328"/>
      <c r="N385" s="328"/>
      <c r="O385" s="328"/>
    </row>
    <row r="386" spans="1:15" s="102" customFormat="1">
      <c r="A386" s="174"/>
      <c r="B386" s="175"/>
      <c r="C386" s="173" t="s">
        <v>50</v>
      </c>
      <c r="D386" s="162" t="s">
        <v>20</v>
      </c>
      <c r="E386" s="282">
        <v>0.5</v>
      </c>
      <c r="F386" s="338"/>
      <c r="G386" s="346"/>
      <c r="H386" s="340">
        <v>84</v>
      </c>
      <c r="I386" s="327"/>
      <c r="J386" s="328"/>
      <c r="K386" s="328"/>
      <c r="L386" s="328"/>
      <c r="M386" s="328"/>
      <c r="N386" s="328"/>
      <c r="O386" s="328"/>
    </row>
    <row r="387" spans="1:15" s="102" customFormat="1" ht="19.5" customHeight="1">
      <c r="A387" s="225" t="s">
        <v>64</v>
      </c>
      <c r="B387" s="226"/>
      <c r="C387" s="219" t="s">
        <v>65</v>
      </c>
      <c r="D387" s="172" t="s">
        <v>20</v>
      </c>
      <c r="E387" s="289"/>
      <c r="F387" s="338"/>
      <c r="G387" s="346"/>
      <c r="H387" s="345">
        <v>30</v>
      </c>
      <c r="I387" s="327"/>
      <c r="J387" s="328"/>
      <c r="K387" s="328">
        <f>I387+J387</f>
        <v>0</v>
      </c>
      <c r="L387" s="328">
        <f>H387*I387</f>
        <v>0</v>
      </c>
      <c r="M387" s="328">
        <f>H387*J387</f>
        <v>0</v>
      </c>
      <c r="N387" s="328">
        <f>SUM(L387:M387)</f>
        <v>0</v>
      </c>
      <c r="O387" s="328"/>
    </row>
    <row r="388" spans="1:15" s="102" customFormat="1" ht="19.5" customHeight="1">
      <c r="A388" s="225"/>
      <c r="B388" s="226"/>
      <c r="C388" s="220"/>
      <c r="D388" s="172" t="s">
        <v>42</v>
      </c>
      <c r="E388" s="290"/>
      <c r="F388" s="338"/>
      <c r="G388" s="346"/>
      <c r="H388" s="345">
        <v>23.4</v>
      </c>
      <c r="I388" s="327"/>
      <c r="J388" s="328"/>
      <c r="K388" s="328"/>
      <c r="L388" s="328"/>
      <c r="M388" s="328"/>
      <c r="N388" s="328"/>
      <c r="O388" s="328"/>
    </row>
    <row r="389" spans="1:15" s="102" customFormat="1" ht="30">
      <c r="A389" s="174"/>
      <c r="B389" s="175"/>
      <c r="C389" s="173" t="s">
        <v>66</v>
      </c>
      <c r="D389" s="162" t="s">
        <v>42</v>
      </c>
      <c r="E389" s="282">
        <v>1.02</v>
      </c>
      <c r="F389" s="338"/>
      <c r="G389" s="346"/>
      <c r="H389" s="340">
        <v>23.87</v>
      </c>
      <c r="I389" s="327"/>
      <c r="J389" s="328"/>
      <c r="K389" s="328"/>
      <c r="L389" s="328"/>
      <c r="M389" s="328"/>
      <c r="N389" s="328"/>
      <c r="O389" s="328"/>
    </row>
    <row r="390" spans="1:15" s="102" customFormat="1">
      <c r="A390" s="174"/>
      <c r="B390" s="175"/>
      <c r="C390" s="173" t="s">
        <v>44</v>
      </c>
      <c r="D390" s="162" t="s">
        <v>20</v>
      </c>
      <c r="E390" s="282">
        <v>1</v>
      </c>
      <c r="F390" s="338"/>
      <c r="G390" s="346"/>
      <c r="H390" s="340">
        <v>30</v>
      </c>
      <c r="I390" s="327"/>
      <c r="J390" s="328"/>
      <c r="K390" s="328"/>
      <c r="L390" s="328"/>
      <c r="M390" s="328"/>
      <c r="N390" s="328"/>
      <c r="O390" s="328"/>
    </row>
    <row r="391" spans="1:15" s="102" customFormat="1">
      <c r="A391" s="174"/>
      <c r="B391" s="175"/>
      <c r="C391" s="173" t="s">
        <v>50</v>
      </c>
      <c r="D391" s="162" t="s">
        <v>20</v>
      </c>
      <c r="E391" s="282">
        <v>0.5</v>
      </c>
      <c r="F391" s="338"/>
      <c r="G391" s="346"/>
      <c r="H391" s="340">
        <v>15</v>
      </c>
      <c r="I391" s="327"/>
      <c r="J391" s="328"/>
      <c r="K391" s="328"/>
      <c r="L391" s="328"/>
      <c r="M391" s="328"/>
      <c r="N391" s="328"/>
      <c r="O391" s="328"/>
    </row>
    <row r="392" spans="1:15" s="102" customFormat="1" ht="31.5">
      <c r="A392" s="145" t="s">
        <v>9</v>
      </c>
      <c r="B392" s="146"/>
      <c r="C392" s="147" t="s">
        <v>127</v>
      </c>
      <c r="D392" s="171"/>
      <c r="E392" s="278"/>
      <c r="F392" s="347"/>
      <c r="G392" s="348"/>
      <c r="H392" s="348"/>
      <c r="I392" s="327"/>
      <c r="J392" s="328"/>
      <c r="K392" s="328"/>
      <c r="L392" s="328"/>
      <c r="M392" s="328"/>
      <c r="N392" s="328"/>
      <c r="O392" s="328"/>
    </row>
    <row r="393" spans="1:15" s="102" customFormat="1" ht="15.75" customHeight="1">
      <c r="A393" s="215" t="s">
        <v>40</v>
      </c>
      <c r="B393" s="217"/>
      <c r="C393" s="219" t="s">
        <v>123</v>
      </c>
      <c r="D393" s="172" t="s">
        <v>20</v>
      </c>
      <c r="E393" s="289"/>
      <c r="F393" s="344"/>
      <c r="G393" s="331"/>
      <c r="H393" s="345">
        <v>168</v>
      </c>
      <c r="I393" s="341"/>
      <c r="J393" s="328"/>
      <c r="K393" s="328">
        <f>I393+J393</f>
        <v>0</v>
      </c>
      <c r="L393" s="328">
        <f>H393*I393</f>
        <v>0</v>
      </c>
      <c r="M393" s="328">
        <f>H393*J393</f>
        <v>0</v>
      </c>
      <c r="N393" s="328">
        <f>SUM(L393:M393)</f>
        <v>0</v>
      </c>
      <c r="O393" s="328"/>
    </row>
    <row r="394" spans="1:15" s="102" customFormat="1" ht="15.75" customHeight="1">
      <c r="A394" s="216"/>
      <c r="B394" s="218"/>
      <c r="C394" s="220"/>
      <c r="D394" s="172" t="s">
        <v>42</v>
      </c>
      <c r="E394" s="290"/>
      <c r="F394" s="344"/>
      <c r="G394" s="331"/>
      <c r="H394" s="345">
        <v>154.56</v>
      </c>
      <c r="I394" s="327"/>
      <c r="J394" s="328"/>
      <c r="K394" s="328"/>
      <c r="L394" s="328"/>
      <c r="M394" s="328"/>
      <c r="N394" s="328"/>
      <c r="O394" s="328"/>
    </row>
    <row r="395" spans="1:15" s="102" customFormat="1" ht="30">
      <c r="A395" s="174"/>
      <c r="B395" s="175"/>
      <c r="C395" s="173" t="s">
        <v>124</v>
      </c>
      <c r="D395" s="162" t="s">
        <v>42</v>
      </c>
      <c r="E395" s="282">
        <v>1.02</v>
      </c>
      <c r="F395" s="344"/>
      <c r="G395" s="331"/>
      <c r="H395" s="331">
        <v>157.65</v>
      </c>
      <c r="I395" s="327"/>
      <c r="J395" s="328"/>
      <c r="K395" s="328"/>
      <c r="L395" s="328"/>
      <c r="M395" s="328"/>
      <c r="N395" s="328"/>
      <c r="O395" s="328"/>
    </row>
    <row r="396" spans="1:15" s="102" customFormat="1">
      <c r="A396" s="174"/>
      <c r="B396" s="175"/>
      <c r="C396" s="173" t="s">
        <v>44</v>
      </c>
      <c r="D396" s="162" t="s">
        <v>20</v>
      </c>
      <c r="E396" s="282">
        <v>2</v>
      </c>
      <c r="F396" s="344"/>
      <c r="G396" s="331"/>
      <c r="H396" s="331">
        <v>336</v>
      </c>
      <c r="I396" s="327"/>
      <c r="J396" s="328"/>
      <c r="K396" s="328"/>
      <c r="L396" s="328"/>
      <c r="M396" s="328"/>
      <c r="N396" s="328"/>
      <c r="O396" s="328"/>
    </row>
    <row r="397" spans="1:15" s="102" customFormat="1">
      <c r="A397" s="174"/>
      <c r="B397" s="175"/>
      <c r="C397" s="173" t="s">
        <v>50</v>
      </c>
      <c r="D397" s="162" t="s">
        <v>20</v>
      </c>
      <c r="E397" s="282">
        <v>0.5</v>
      </c>
      <c r="F397" s="344"/>
      <c r="G397" s="331"/>
      <c r="H397" s="331">
        <v>84</v>
      </c>
      <c r="I397" s="327"/>
      <c r="J397" s="328"/>
      <c r="K397" s="328"/>
      <c r="L397" s="328"/>
      <c r="M397" s="328"/>
      <c r="N397" s="328"/>
      <c r="O397" s="328"/>
    </row>
    <row r="398" spans="1:15" s="102" customFormat="1" ht="14.25" customHeight="1">
      <c r="A398" s="215" t="s">
        <v>51</v>
      </c>
      <c r="B398" s="217"/>
      <c r="C398" s="219" t="s">
        <v>125</v>
      </c>
      <c r="D398" s="172" t="s">
        <v>20</v>
      </c>
      <c r="E398" s="289"/>
      <c r="F398" s="344"/>
      <c r="G398" s="331"/>
      <c r="H398" s="345">
        <v>171</v>
      </c>
      <c r="I398" s="341"/>
      <c r="J398" s="328"/>
      <c r="K398" s="328">
        <f>I398+J398</f>
        <v>0</v>
      </c>
      <c r="L398" s="328">
        <f>H398*I398</f>
        <v>0</v>
      </c>
      <c r="M398" s="328">
        <f>H398*J398</f>
        <v>0</v>
      </c>
      <c r="N398" s="328">
        <f>SUM(L398:M398)</f>
        <v>0</v>
      </c>
      <c r="O398" s="328"/>
    </row>
    <row r="399" spans="1:15" s="102" customFormat="1" ht="14.25" customHeight="1">
      <c r="A399" s="216"/>
      <c r="B399" s="218"/>
      <c r="C399" s="220"/>
      <c r="D399" s="172" t="s">
        <v>42</v>
      </c>
      <c r="E399" s="290"/>
      <c r="F399" s="344"/>
      <c r="G399" s="331"/>
      <c r="H399" s="345">
        <v>208.62</v>
      </c>
      <c r="I399" s="327"/>
      <c r="J399" s="328"/>
      <c r="K399" s="328"/>
      <c r="L399" s="328"/>
      <c r="M399" s="328"/>
      <c r="N399" s="328"/>
      <c r="O399" s="328"/>
    </row>
    <row r="400" spans="1:15" s="102" customFormat="1" ht="30">
      <c r="A400" s="174"/>
      <c r="B400" s="175"/>
      <c r="C400" s="173" t="s">
        <v>126</v>
      </c>
      <c r="D400" s="162" t="s">
        <v>42</v>
      </c>
      <c r="E400" s="282">
        <v>1.02</v>
      </c>
      <c r="F400" s="344"/>
      <c r="G400" s="331"/>
      <c r="H400" s="331">
        <v>212.79</v>
      </c>
      <c r="I400" s="327"/>
      <c r="J400" s="328"/>
      <c r="K400" s="328"/>
      <c r="L400" s="328"/>
      <c r="M400" s="328"/>
      <c r="N400" s="328"/>
      <c r="O400" s="328"/>
    </row>
    <row r="401" spans="1:15" s="102" customFormat="1">
      <c r="A401" s="174"/>
      <c r="B401" s="175"/>
      <c r="C401" s="173" t="s">
        <v>44</v>
      </c>
      <c r="D401" s="162" t="s">
        <v>20</v>
      </c>
      <c r="E401" s="282">
        <v>2</v>
      </c>
      <c r="F401" s="344"/>
      <c r="G401" s="331"/>
      <c r="H401" s="331">
        <v>342</v>
      </c>
      <c r="I401" s="327"/>
      <c r="J401" s="328"/>
      <c r="K401" s="328"/>
      <c r="L401" s="328"/>
      <c r="M401" s="328"/>
      <c r="N401" s="328"/>
      <c r="O401" s="328"/>
    </row>
    <row r="402" spans="1:15" s="102" customFormat="1">
      <c r="A402" s="174"/>
      <c r="B402" s="175"/>
      <c r="C402" s="173" t="s">
        <v>50</v>
      </c>
      <c r="D402" s="162" t="s">
        <v>20</v>
      </c>
      <c r="E402" s="282">
        <v>0.5</v>
      </c>
      <c r="F402" s="344"/>
      <c r="G402" s="331"/>
      <c r="H402" s="331">
        <v>85.5</v>
      </c>
      <c r="I402" s="327"/>
      <c r="J402" s="328"/>
      <c r="K402" s="328"/>
      <c r="L402" s="328"/>
      <c r="M402" s="328"/>
      <c r="N402" s="328"/>
      <c r="O402" s="328"/>
    </row>
    <row r="403" spans="1:15" s="137" customFormat="1" ht="27" customHeight="1">
      <c r="A403" s="227" t="s">
        <v>130</v>
      </c>
      <c r="B403" s="228"/>
      <c r="C403" s="228"/>
      <c r="D403" s="228"/>
      <c r="E403" s="228"/>
      <c r="F403" s="228"/>
      <c r="G403" s="228"/>
      <c r="H403" s="228"/>
      <c r="I403" s="327"/>
      <c r="J403" s="321"/>
      <c r="K403" s="321"/>
      <c r="L403" s="321"/>
      <c r="M403" s="321"/>
      <c r="N403" s="321"/>
      <c r="O403" s="321"/>
    </row>
    <row r="404" spans="1:15" s="102" customFormat="1" ht="22.5" customHeight="1">
      <c r="A404" s="145" t="s">
        <v>6</v>
      </c>
      <c r="B404" s="146"/>
      <c r="C404" s="147" t="s">
        <v>366</v>
      </c>
      <c r="D404" s="148" t="s">
        <v>7</v>
      </c>
      <c r="E404" s="287"/>
      <c r="F404" s="325">
        <v>6.8</v>
      </c>
      <c r="G404" s="326">
        <v>6.8</v>
      </c>
      <c r="H404" s="326">
        <v>13.6</v>
      </c>
      <c r="I404" s="327"/>
      <c r="J404" s="328"/>
      <c r="K404" s="328">
        <f>I404+J404</f>
        <v>0</v>
      </c>
      <c r="L404" s="328">
        <f>H404*I404</f>
        <v>0</v>
      </c>
      <c r="M404" s="328">
        <f>H404*J404</f>
        <v>0</v>
      </c>
      <c r="N404" s="328">
        <f>SUM(L404:M404)</f>
        <v>0</v>
      </c>
      <c r="O404" s="328"/>
    </row>
    <row r="405" spans="1:15" s="102" customFormat="1" ht="16.5" customHeight="1">
      <c r="A405" s="149"/>
      <c r="B405" s="150"/>
      <c r="C405" s="151" t="s">
        <v>286</v>
      </c>
      <c r="D405" s="152" t="s">
        <v>7</v>
      </c>
      <c r="E405" s="279">
        <v>1.02</v>
      </c>
      <c r="F405" s="344">
        <v>6.9</v>
      </c>
      <c r="G405" s="331">
        <v>6.9</v>
      </c>
      <c r="H405" s="331">
        <v>13.8</v>
      </c>
      <c r="I405" s="341"/>
      <c r="J405" s="328"/>
      <c r="K405" s="328"/>
      <c r="L405" s="328"/>
      <c r="M405" s="328"/>
      <c r="N405" s="328"/>
      <c r="O405" s="328"/>
    </row>
    <row r="406" spans="1:15" s="102" customFormat="1" ht="16.5" customHeight="1">
      <c r="A406" s="149"/>
      <c r="B406" s="150"/>
      <c r="C406" s="163" t="s">
        <v>19</v>
      </c>
      <c r="D406" s="164" t="s">
        <v>8</v>
      </c>
      <c r="E406" s="288">
        <v>4.4000000000000004</v>
      </c>
      <c r="F406" s="344">
        <v>29.9</v>
      </c>
      <c r="G406" s="331">
        <v>29.9</v>
      </c>
      <c r="H406" s="331">
        <v>59.8</v>
      </c>
      <c r="I406" s="341"/>
      <c r="J406" s="328"/>
      <c r="K406" s="328"/>
      <c r="L406" s="328"/>
      <c r="M406" s="328"/>
      <c r="N406" s="328"/>
      <c r="O406" s="328"/>
    </row>
    <row r="407" spans="1:15" s="102" customFormat="1" ht="16.5" customHeight="1">
      <c r="A407" s="149"/>
      <c r="B407" s="150"/>
      <c r="C407" s="151" t="s">
        <v>131</v>
      </c>
      <c r="D407" s="152" t="s">
        <v>8</v>
      </c>
      <c r="E407" s="279">
        <v>3.76</v>
      </c>
      <c r="F407" s="344">
        <v>25.6</v>
      </c>
      <c r="G407" s="331">
        <v>25.6</v>
      </c>
      <c r="H407" s="331">
        <v>51.2</v>
      </c>
      <c r="I407" s="341"/>
      <c r="J407" s="328"/>
      <c r="K407" s="328"/>
      <c r="L407" s="328"/>
      <c r="M407" s="328"/>
      <c r="N407" s="328"/>
      <c r="O407" s="328"/>
    </row>
    <row r="408" spans="1:15" s="102" customFormat="1" ht="22.5" customHeight="1">
      <c r="A408" s="145" t="s">
        <v>9</v>
      </c>
      <c r="B408" s="146"/>
      <c r="C408" s="176" t="s">
        <v>367</v>
      </c>
      <c r="D408" s="148" t="s">
        <v>7</v>
      </c>
      <c r="E408" s="287"/>
      <c r="F408" s="325">
        <v>7.8</v>
      </c>
      <c r="G408" s="326">
        <v>7.8</v>
      </c>
      <c r="H408" s="326">
        <v>15.6</v>
      </c>
      <c r="I408" s="327"/>
      <c r="J408" s="328"/>
      <c r="K408" s="328">
        <f>I408+J408</f>
        <v>0</v>
      </c>
      <c r="L408" s="328">
        <f>H408*I408</f>
        <v>0</v>
      </c>
      <c r="M408" s="328">
        <f>H408*J408</f>
        <v>0</v>
      </c>
      <c r="N408" s="328">
        <f>SUM(L408:M408)</f>
        <v>0</v>
      </c>
      <c r="O408" s="328"/>
    </row>
    <row r="409" spans="1:15" s="102" customFormat="1" ht="16.5" customHeight="1">
      <c r="A409" s="149"/>
      <c r="B409" s="150"/>
      <c r="C409" s="151" t="s">
        <v>286</v>
      </c>
      <c r="D409" s="152" t="s">
        <v>7</v>
      </c>
      <c r="E409" s="279">
        <v>1.02</v>
      </c>
      <c r="F409" s="344">
        <v>6.9</v>
      </c>
      <c r="G409" s="331">
        <v>6.9</v>
      </c>
      <c r="H409" s="331">
        <v>13.8</v>
      </c>
      <c r="I409" s="341"/>
      <c r="J409" s="328"/>
      <c r="K409" s="328"/>
      <c r="L409" s="328"/>
      <c r="M409" s="328"/>
      <c r="N409" s="328"/>
      <c r="O409" s="328"/>
    </row>
    <row r="410" spans="1:15" s="102" customFormat="1" ht="16.5" customHeight="1">
      <c r="A410" s="149"/>
      <c r="B410" s="150"/>
      <c r="C410" s="163" t="s">
        <v>19</v>
      </c>
      <c r="D410" s="164" t="s">
        <v>8</v>
      </c>
      <c r="E410" s="288">
        <v>4.4000000000000004</v>
      </c>
      <c r="F410" s="344">
        <v>29.9</v>
      </c>
      <c r="G410" s="331">
        <v>29.9</v>
      </c>
      <c r="H410" s="331">
        <v>59.8</v>
      </c>
      <c r="I410" s="341"/>
      <c r="J410" s="328"/>
      <c r="K410" s="328"/>
      <c r="L410" s="328"/>
      <c r="M410" s="328"/>
      <c r="N410" s="328"/>
      <c r="O410" s="328"/>
    </row>
    <row r="411" spans="1:15" s="102" customFormat="1" ht="16.5" customHeight="1">
      <c r="A411" s="149"/>
      <c r="B411" s="150"/>
      <c r="C411" s="151" t="s">
        <v>131</v>
      </c>
      <c r="D411" s="152" t="s">
        <v>8</v>
      </c>
      <c r="E411" s="279">
        <v>3.76</v>
      </c>
      <c r="F411" s="344">
        <v>25.6</v>
      </c>
      <c r="G411" s="331">
        <v>25.6</v>
      </c>
      <c r="H411" s="331">
        <v>51.2</v>
      </c>
      <c r="I411" s="341"/>
      <c r="J411" s="328"/>
      <c r="K411" s="328"/>
      <c r="L411" s="328"/>
      <c r="M411" s="328"/>
      <c r="N411" s="328"/>
      <c r="O411" s="328"/>
    </row>
    <row r="412" spans="1:15" s="102" customFormat="1" ht="16.5" customHeight="1">
      <c r="A412" s="149"/>
      <c r="B412" s="150"/>
      <c r="C412" s="177" t="s">
        <v>344</v>
      </c>
      <c r="D412" s="178" t="s">
        <v>42</v>
      </c>
      <c r="E412" s="279">
        <v>1.1000000000000001</v>
      </c>
      <c r="F412" s="344">
        <v>6.8</v>
      </c>
      <c r="G412" s="331">
        <v>6.8</v>
      </c>
      <c r="H412" s="331">
        <v>13.6</v>
      </c>
      <c r="I412" s="327"/>
      <c r="J412" s="328"/>
      <c r="K412" s="328"/>
      <c r="L412" s="328"/>
      <c r="M412" s="328"/>
      <c r="N412" s="328"/>
      <c r="O412" s="328"/>
    </row>
    <row r="413" spans="1:15" s="102" customFormat="1" ht="22.5" customHeight="1">
      <c r="A413" s="145" t="s">
        <v>10</v>
      </c>
      <c r="B413" s="146"/>
      <c r="C413" s="176" t="s">
        <v>368</v>
      </c>
      <c r="D413" s="148" t="s">
        <v>7</v>
      </c>
      <c r="E413" s="287"/>
      <c r="F413" s="325">
        <v>4.46</v>
      </c>
      <c r="G413" s="326">
        <v>4.46</v>
      </c>
      <c r="H413" s="326">
        <v>8.92</v>
      </c>
      <c r="I413" s="327"/>
      <c r="J413" s="328"/>
      <c r="K413" s="328">
        <f>I413+J413</f>
        <v>0</v>
      </c>
      <c r="L413" s="328">
        <f>H413*I413</f>
        <v>0</v>
      </c>
      <c r="M413" s="328">
        <f>H413*J413</f>
        <v>0</v>
      </c>
      <c r="N413" s="328">
        <f>SUM(L413:M413)</f>
        <v>0</v>
      </c>
      <c r="O413" s="328"/>
    </row>
    <row r="414" spans="1:15" s="102" customFormat="1" ht="16.5" customHeight="1">
      <c r="A414" s="149"/>
      <c r="B414" s="150"/>
      <c r="C414" s="151" t="s">
        <v>286</v>
      </c>
      <c r="D414" s="152" t="s">
        <v>7</v>
      </c>
      <c r="E414" s="279">
        <v>1.02</v>
      </c>
      <c r="F414" s="344">
        <v>4.5</v>
      </c>
      <c r="G414" s="331">
        <v>4.5</v>
      </c>
      <c r="H414" s="331">
        <v>9</v>
      </c>
      <c r="I414" s="341"/>
      <c r="J414" s="328"/>
      <c r="K414" s="328"/>
      <c r="L414" s="328"/>
      <c r="M414" s="328"/>
      <c r="N414" s="328"/>
      <c r="O414" s="328"/>
    </row>
    <row r="415" spans="1:15" s="102" customFormat="1" ht="16.5" customHeight="1">
      <c r="A415" s="149"/>
      <c r="B415" s="150"/>
      <c r="C415" s="163" t="s">
        <v>19</v>
      </c>
      <c r="D415" s="164" t="s">
        <v>8</v>
      </c>
      <c r="E415" s="288">
        <v>4.4000000000000004</v>
      </c>
      <c r="F415" s="344">
        <v>19.600000000000001</v>
      </c>
      <c r="G415" s="331">
        <v>19.600000000000001</v>
      </c>
      <c r="H415" s="331">
        <v>39.200000000000003</v>
      </c>
      <c r="I415" s="341"/>
      <c r="J415" s="328"/>
      <c r="K415" s="328"/>
      <c r="L415" s="328"/>
      <c r="M415" s="328"/>
      <c r="N415" s="328"/>
      <c r="O415" s="328"/>
    </row>
    <row r="416" spans="1:15" s="102" customFormat="1" ht="16.5" customHeight="1">
      <c r="A416" s="149"/>
      <c r="B416" s="150"/>
      <c r="C416" s="151" t="s">
        <v>131</v>
      </c>
      <c r="D416" s="152" t="s">
        <v>8</v>
      </c>
      <c r="E416" s="279">
        <v>3.76</v>
      </c>
      <c r="F416" s="344">
        <v>16.8</v>
      </c>
      <c r="G416" s="331">
        <v>16.8</v>
      </c>
      <c r="H416" s="331">
        <v>33.6</v>
      </c>
      <c r="I416" s="341"/>
      <c r="J416" s="328"/>
      <c r="K416" s="328"/>
      <c r="L416" s="328"/>
      <c r="M416" s="328"/>
      <c r="N416" s="328"/>
      <c r="O416" s="328"/>
    </row>
    <row r="417" spans="1:15" s="102" customFormat="1" ht="16.5" customHeight="1">
      <c r="A417" s="149"/>
      <c r="B417" s="150"/>
      <c r="C417" s="177" t="s">
        <v>344</v>
      </c>
      <c r="D417" s="178" t="s">
        <v>42</v>
      </c>
      <c r="E417" s="279">
        <v>1.1000000000000001</v>
      </c>
      <c r="F417" s="344">
        <v>4.9000000000000004</v>
      </c>
      <c r="G417" s="331">
        <v>4.9000000000000004</v>
      </c>
      <c r="H417" s="331">
        <v>9.8000000000000007</v>
      </c>
      <c r="I417" s="327"/>
      <c r="J417" s="328"/>
      <c r="K417" s="328"/>
      <c r="L417" s="328"/>
      <c r="M417" s="328"/>
      <c r="N417" s="328"/>
      <c r="O417" s="328"/>
    </row>
    <row r="418" spans="1:15" s="102" customFormat="1" ht="16.5" customHeight="1">
      <c r="A418" s="149"/>
      <c r="B418" s="150"/>
      <c r="C418" s="177" t="s">
        <v>344</v>
      </c>
      <c r="D418" s="178" t="s">
        <v>42</v>
      </c>
      <c r="E418" s="279">
        <v>1.1000000000000001</v>
      </c>
      <c r="F418" s="344">
        <v>6.8</v>
      </c>
      <c r="G418" s="331">
        <v>6.8</v>
      </c>
      <c r="H418" s="331">
        <v>13.6</v>
      </c>
      <c r="I418" s="327"/>
      <c r="J418" s="328"/>
      <c r="K418" s="328"/>
      <c r="L418" s="328"/>
      <c r="M418" s="328"/>
      <c r="N418" s="328"/>
      <c r="O418" s="328"/>
    </row>
    <row r="419" spans="1:15" s="137" customFormat="1" ht="27" customHeight="1">
      <c r="A419" s="227" t="s">
        <v>134</v>
      </c>
      <c r="B419" s="228"/>
      <c r="C419" s="228"/>
      <c r="D419" s="228"/>
      <c r="E419" s="228"/>
      <c r="F419" s="228"/>
      <c r="G419" s="228"/>
      <c r="H419" s="228"/>
      <c r="I419" s="327"/>
      <c r="J419" s="321"/>
      <c r="K419" s="321"/>
      <c r="L419" s="321"/>
      <c r="M419" s="321"/>
      <c r="N419" s="321"/>
      <c r="O419" s="321"/>
    </row>
    <row r="420" spans="1:15" ht="24" customHeight="1">
      <c r="A420" s="145" t="s">
        <v>6</v>
      </c>
      <c r="B420" s="159"/>
      <c r="C420" s="147" t="s">
        <v>132</v>
      </c>
      <c r="D420" s="171" t="s">
        <v>20</v>
      </c>
      <c r="E420" s="278"/>
      <c r="F420" s="325">
        <v>180</v>
      </c>
      <c r="G420" s="326">
        <v>179</v>
      </c>
      <c r="H420" s="326">
        <v>359</v>
      </c>
      <c r="I420" s="328"/>
      <c r="J420" s="328"/>
      <c r="K420" s="342">
        <f>I420+J420</f>
        <v>0</v>
      </c>
      <c r="L420" s="342">
        <f>H420*I420</f>
        <v>0</v>
      </c>
      <c r="M420" s="342">
        <f>H420*J420</f>
        <v>0</v>
      </c>
      <c r="N420" s="328">
        <f>SUM(L420:M420)</f>
        <v>0</v>
      </c>
      <c r="O420" s="328"/>
    </row>
    <row r="421" spans="1:15" s="102" customFormat="1" ht="15.75" customHeight="1">
      <c r="A421" s="174"/>
      <c r="B421" s="179"/>
      <c r="C421" s="163" t="s">
        <v>133</v>
      </c>
      <c r="D421" s="162" t="s">
        <v>20</v>
      </c>
      <c r="E421" s="282">
        <v>1</v>
      </c>
      <c r="F421" s="349">
        <v>180</v>
      </c>
      <c r="G421" s="340">
        <v>179</v>
      </c>
      <c r="H421" s="340">
        <v>359</v>
      </c>
      <c r="I421" s="328"/>
      <c r="J421" s="328"/>
      <c r="K421" s="328"/>
      <c r="L421" s="328"/>
      <c r="M421" s="328"/>
      <c r="N421" s="328"/>
      <c r="O421" s="328"/>
    </row>
    <row r="422" spans="1:15" ht="24" customHeight="1">
      <c r="A422" s="145" t="s">
        <v>9</v>
      </c>
      <c r="B422" s="159"/>
      <c r="C422" s="147" t="s">
        <v>135</v>
      </c>
      <c r="D422" s="171" t="s">
        <v>20</v>
      </c>
      <c r="E422" s="278"/>
      <c r="F422" s="325">
        <v>1</v>
      </c>
      <c r="G422" s="326">
        <v>1</v>
      </c>
      <c r="H422" s="326">
        <v>2</v>
      </c>
      <c r="I422" s="328"/>
      <c r="J422" s="328"/>
      <c r="K422" s="342">
        <f>I422+J422</f>
        <v>0</v>
      </c>
      <c r="L422" s="342">
        <f>H422*I422</f>
        <v>0</v>
      </c>
      <c r="M422" s="342">
        <f>H422*J422</f>
        <v>0</v>
      </c>
      <c r="N422" s="328">
        <f>SUM(L422:M422)</f>
        <v>0</v>
      </c>
      <c r="O422" s="328"/>
    </row>
    <row r="423" spans="1:15" s="102" customFormat="1" ht="16.5" customHeight="1">
      <c r="A423" s="149"/>
      <c r="B423" s="150"/>
      <c r="C423" s="151" t="s">
        <v>136</v>
      </c>
      <c r="D423" s="152" t="s">
        <v>20</v>
      </c>
      <c r="E423" s="279">
        <v>1</v>
      </c>
      <c r="F423" s="344">
        <v>1</v>
      </c>
      <c r="G423" s="331">
        <v>1</v>
      </c>
      <c r="H423" s="331">
        <v>2</v>
      </c>
      <c r="I423" s="327"/>
      <c r="J423" s="328"/>
      <c r="K423" s="328"/>
      <c r="L423" s="328"/>
      <c r="M423" s="328"/>
      <c r="N423" s="328"/>
      <c r="O423" s="328"/>
    </row>
    <row r="424" spans="1:15" ht="24" customHeight="1">
      <c r="A424" s="145" t="s">
        <v>10</v>
      </c>
      <c r="B424" s="159"/>
      <c r="C424" s="147" t="s">
        <v>144</v>
      </c>
      <c r="D424" s="171" t="s">
        <v>20</v>
      </c>
      <c r="E424" s="278"/>
      <c r="F424" s="325">
        <v>1</v>
      </c>
      <c r="G424" s="326">
        <v>1</v>
      </c>
      <c r="H424" s="326">
        <v>2</v>
      </c>
      <c r="I424" s="328"/>
      <c r="J424" s="328"/>
      <c r="K424" s="342">
        <f>I424+J424</f>
        <v>0</v>
      </c>
      <c r="L424" s="342">
        <f>H424*I424</f>
        <v>0</v>
      </c>
      <c r="M424" s="342">
        <f>H424*J424</f>
        <v>0</v>
      </c>
      <c r="N424" s="328">
        <f>SUM(L424:M424)</f>
        <v>0</v>
      </c>
      <c r="O424" s="328"/>
    </row>
    <row r="425" spans="1:15" s="102" customFormat="1" ht="40.5" customHeight="1">
      <c r="A425" s="149"/>
      <c r="B425" s="150"/>
      <c r="C425" s="180" t="s">
        <v>145</v>
      </c>
      <c r="D425" s="152" t="s">
        <v>20</v>
      </c>
      <c r="E425" s="279">
        <v>1</v>
      </c>
      <c r="F425" s="344">
        <v>1</v>
      </c>
      <c r="G425" s="331">
        <v>1</v>
      </c>
      <c r="H425" s="331">
        <v>2</v>
      </c>
      <c r="I425" s="327"/>
      <c r="J425" s="328"/>
      <c r="K425" s="328"/>
      <c r="L425" s="328"/>
      <c r="M425" s="328"/>
      <c r="N425" s="328"/>
      <c r="O425" s="328"/>
    </row>
    <row r="426" spans="1:15" ht="24" customHeight="1">
      <c r="A426" s="145" t="s">
        <v>11</v>
      </c>
      <c r="B426" s="159"/>
      <c r="C426" s="147" t="s">
        <v>137</v>
      </c>
      <c r="D426" s="171" t="s">
        <v>20</v>
      </c>
      <c r="E426" s="278"/>
      <c r="F426" s="325">
        <v>180</v>
      </c>
      <c r="G426" s="326">
        <v>179</v>
      </c>
      <c r="H426" s="326">
        <v>359</v>
      </c>
      <c r="I426" s="328"/>
      <c r="J426" s="328"/>
      <c r="K426" s="342">
        <f>I426+J426</f>
        <v>0</v>
      </c>
      <c r="L426" s="342">
        <f>H426*I426</f>
        <v>0</v>
      </c>
      <c r="M426" s="342">
        <f>H426*J426</f>
        <v>0</v>
      </c>
      <c r="N426" s="328">
        <f>SUM(L426:M426)</f>
        <v>0</v>
      </c>
      <c r="O426" s="328"/>
    </row>
    <row r="427" spans="1:15" s="102" customFormat="1" ht="16.5" customHeight="1">
      <c r="A427" s="149"/>
      <c r="B427" s="150"/>
      <c r="C427" s="151" t="s">
        <v>138</v>
      </c>
      <c r="D427" s="152" t="s">
        <v>20</v>
      </c>
      <c r="E427" s="279">
        <v>1</v>
      </c>
      <c r="F427" s="344">
        <v>180</v>
      </c>
      <c r="G427" s="331">
        <v>179</v>
      </c>
      <c r="H427" s="331">
        <v>359</v>
      </c>
      <c r="I427" s="327"/>
      <c r="J427" s="328"/>
      <c r="K427" s="328"/>
      <c r="L427" s="328"/>
      <c r="M427" s="328"/>
      <c r="N427" s="328"/>
      <c r="O427" s="328"/>
    </row>
    <row r="428" spans="1:15" ht="24" customHeight="1">
      <c r="A428" s="145" t="s">
        <v>12</v>
      </c>
      <c r="B428" s="159"/>
      <c r="C428" s="147" t="s">
        <v>139</v>
      </c>
      <c r="D428" s="171" t="s">
        <v>20</v>
      </c>
      <c r="E428" s="278"/>
      <c r="F428" s="325">
        <v>30</v>
      </c>
      <c r="G428" s="326">
        <v>30</v>
      </c>
      <c r="H428" s="326">
        <v>60</v>
      </c>
      <c r="I428" s="328"/>
      <c r="J428" s="328"/>
      <c r="K428" s="342">
        <f>I428+J428</f>
        <v>0</v>
      </c>
      <c r="L428" s="342">
        <f>H428*I428</f>
        <v>0</v>
      </c>
      <c r="M428" s="342">
        <f>H428*J428</f>
        <v>0</v>
      </c>
      <c r="N428" s="328">
        <f>SUM(L428:M428)</f>
        <v>0</v>
      </c>
      <c r="O428" s="328"/>
    </row>
    <row r="429" spans="1:15" s="102" customFormat="1" ht="16.5" customHeight="1">
      <c r="A429" s="149"/>
      <c r="B429" s="150"/>
      <c r="C429" s="151" t="s">
        <v>136</v>
      </c>
      <c r="D429" s="152" t="s">
        <v>20</v>
      </c>
      <c r="E429" s="279">
        <v>1</v>
      </c>
      <c r="F429" s="344">
        <v>30</v>
      </c>
      <c r="G429" s="331">
        <v>30</v>
      </c>
      <c r="H429" s="331">
        <v>60</v>
      </c>
      <c r="I429" s="327"/>
      <c r="J429" s="328"/>
      <c r="K429" s="328"/>
      <c r="L429" s="328"/>
      <c r="M429" s="328"/>
      <c r="N429" s="328"/>
      <c r="O429" s="328"/>
    </row>
    <row r="430" spans="1:15" ht="24" customHeight="1">
      <c r="A430" s="145" t="s">
        <v>13</v>
      </c>
      <c r="B430" s="159"/>
      <c r="C430" s="147" t="s">
        <v>140</v>
      </c>
      <c r="D430" s="171" t="s">
        <v>20</v>
      </c>
      <c r="E430" s="278"/>
      <c r="F430" s="325">
        <v>540</v>
      </c>
      <c r="G430" s="326">
        <v>540</v>
      </c>
      <c r="H430" s="326">
        <v>1080</v>
      </c>
      <c r="I430" s="327"/>
      <c r="J430" s="328"/>
      <c r="K430" s="342">
        <f>I430+J430</f>
        <v>0</v>
      </c>
      <c r="L430" s="342">
        <f>H430*I430</f>
        <v>0</v>
      </c>
      <c r="M430" s="342">
        <f>H430*J430</f>
        <v>0</v>
      </c>
      <c r="N430" s="328">
        <f>SUM(L430:M430)</f>
        <v>0</v>
      </c>
      <c r="O430" s="328"/>
    </row>
    <row r="431" spans="1:15" s="102" customFormat="1">
      <c r="A431" s="149"/>
      <c r="B431" s="150"/>
      <c r="C431" s="151" t="s">
        <v>296</v>
      </c>
      <c r="D431" s="152" t="s">
        <v>20</v>
      </c>
      <c r="E431" s="279">
        <v>1</v>
      </c>
      <c r="F431" s="344">
        <v>30</v>
      </c>
      <c r="G431" s="331">
        <v>30</v>
      </c>
      <c r="H431" s="331">
        <v>60</v>
      </c>
      <c r="I431" s="327"/>
      <c r="J431" s="328"/>
      <c r="K431" s="328"/>
      <c r="L431" s="328"/>
      <c r="M431" s="328"/>
      <c r="N431" s="328"/>
      <c r="O431" s="328"/>
    </row>
    <row r="432" spans="1:15" s="102" customFormat="1">
      <c r="A432" s="149"/>
      <c r="B432" s="150"/>
      <c r="C432" s="151" t="s">
        <v>365</v>
      </c>
      <c r="D432" s="152" t="s">
        <v>20</v>
      </c>
      <c r="E432" s="279">
        <v>1</v>
      </c>
      <c r="F432" s="344">
        <v>15</v>
      </c>
      <c r="G432" s="331">
        <v>15</v>
      </c>
      <c r="H432" s="331">
        <v>30</v>
      </c>
      <c r="I432" s="327"/>
      <c r="J432" s="328"/>
      <c r="K432" s="328"/>
      <c r="L432" s="328"/>
      <c r="M432" s="328"/>
      <c r="N432" s="328"/>
      <c r="O432" s="328"/>
    </row>
    <row r="433" spans="1:19" s="102" customFormat="1">
      <c r="A433" s="149"/>
      <c r="B433" s="150"/>
      <c r="C433" s="151" t="s">
        <v>297</v>
      </c>
      <c r="D433" s="152" t="s">
        <v>20</v>
      </c>
      <c r="E433" s="279">
        <v>1</v>
      </c>
      <c r="F433" s="344">
        <v>60</v>
      </c>
      <c r="G433" s="331">
        <v>60</v>
      </c>
      <c r="H433" s="331">
        <v>120</v>
      </c>
      <c r="I433" s="327"/>
      <c r="J433" s="328"/>
      <c r="K433" s="328"/>
      <c r="L433" s="328"/>
      <c r="M433" s="328"/>
      <c r="N433" s="328"/>
      <c r="O433" s="328"/>
    </row>
    <row r="434" spans="1:19" s="102" customFormat="1">
      <c r="A434" s="149"/>
      <c r="B434" s="150"/>
      <c r="C434" s="151" t="s">
        <v>298</v>
      </c>
      <c r="D434" s="152" t="s">
        <v>20</v>
      </c>
      <c r="E434" s="279">
        <v>1</v>
      </c>
      <c r="F434" s="344">
        <v>15</v>
      </c>
      <c r="G434" s="331">
        <v>15</v>
      </c>
      <c r="H434" s="331">
        <v>30</v>
      </c>
      <c r="I434" s="327"/>
      <c r="J434" s="328"/>
      <c r="K434" s="328"/>
      <c r="L434" s="328"/>
      <c r="M434" s="328"/>
      <c r="N434" s="328"/>
      <c r="O434" s="328"/>
    </row>
    <row r="435" spans="1:19" s="102" customFormat="1">
      <c r="A435" s="149"/>
      <c r="B435" s="150"/>
      <c r="C435" s="151" t="s">
        <v>299</v>
      </c>
      <c r="D435" s="152" t="s">
        <v>20</v>
      </c>
      <c r="E435" s="279">
        <v>1</v>
      </c>
      <c r="F435" s="344">
        <v>15</v>
      </c>
      <c r="G435" s="331">
        <v>15</v>
      </c>
      <c r="H435" s="331">
        <v>30</v>
      </c>
      <c r="I435" s="327"/>
      <c r="J435" s="328"/>
      <c r="K435" s="328"/>
      <c r="L435" s="328"/>
      <c r="M435" s="328"/>
      <c r="N435" s="328"/>
      <c r="O435" s="328"/>
    </row>
    <row r="436" spans="1:19" s="102" customFormat="1">
      <c r="A436" s="149"/>
      <c r="B436" s="150"/>
      <c r="C436" s="151" t="s">
        <v>300</v>
      </c>
      <c r="D436" s="152" t="s">
        <v>20</v>
      </c>
      <c r="E436" s="279">
        <v>1</v>
      </c>
      <c r="F436" s="344">
        <v>120</v>
      </c>
      <c r="G436" s="331">
        <v>120</v>
      </c>
      <c r="H436" s="331">
        <v>240</v>
      </c>
      <c r="I436" s="327"/>
      <c r="J436" s="328"/>
      <c r="K436" s="328"/>
      <c r="L436" s="328"/>
      <c r="M436" s="328"/>
      <c r="N436" s="328"/>
      <c r="O436" s="328"/>
    </row>
    <row r="437" spans="1:19" s="102" customFormat="1">
      <c r="A437" s="149"/>
      <c r="B437" s="150"/>
      <c r="C437" s="151" t="s">
        <v>301</v>
      </c>
      <c r="D437" s="152" t="s">
        <v>20</v>
      </c>
      <c r="E437" s="279">
        <v>1</v>
      </c>
      <c r="F437" s="344">
        <v>60</v>
      </c>
      <c r="G437" s="331">
        <v>60</v>
      </c>
      <c r="H437" s="331">
        <v>120</v>
      </c>
      <c r="I437" s="327"/>
      <c r="J437" s="328"/>
      <c r="K437" s="328"/>
      <c r="L437" s="328"/>
      <c r="M437" s="328"/>
      <c r="N437" s="328"/>
      <c r="O437" s="328"/>
    </row>
    <row r="438" spans="1:19" s="102" customFormat="1" ht="30">
      <c r="A438" s="149"/>
      <c r="B438" s="150"/>
      <c r="C438" s="151" t="s">
        <v>356</v>
      </c>
      <c r="D438" s="152" t="s">
        <v>20</v>
      </c>
      <c r="E438" s="279">
        <v>1</v>
      </c>
      <c r="F438" s="344">
        <v>45</v>
      </c>
      <c r="G438" s="331">
        <v>45</v>
      </c>
      <c r="H438" s="331">
        <v>90</v>
      </c>
      <c r="I438" s="327"/>
      <c r="J438" s="328"/>
      <c r="K438" s="328"/>
      <c r="L438" s="328"/>
      <c r="M438" s="328"/>
      <c r="N438" s="328"/>
      <c r="O438" s="328"/>
    </row>
    <row r="439" spans="1:19" s="102" customFormat="1" ht="45">
      <c r="A439" s="149"/>
      <c r="B439" s="150"/>
      <c r="C439" s="151" t="s">
        <v>357</v>
      </c>
      <c r="D439" s="152" t="s">
        <v>20</v>
      </c>
      <c r="E439" s="279">
        <v>1</v>
      </c>
      <c r="F439" s="344">
        <v>180</v>
      </c>
      <c r="G439" s="331">
        <v>180</v>
      </c>
      <c r="H439" s="331">
        <v>360</v>
      </c>
      <c r="I439" s="327"/>
      <c r="J439" s="328"/>
      <c r="K439" s="328"/>
      <c r="L439" s="328"/>
      <c r="M439" s="328"/>
      <c r="N439" s="328"/>
      <c r="O439" s="328"/>
    </row>
    <row r="440" spans="1:19">
      <c r="A440" s="195" t="s">
        <v>392</v>
      </c>
      <c r="B440" s="196"/>
      <c r="C440" s="196"/>
      <c r="D440" s="196"/>
      <c r="E440" s="196"/>
      <c r="F440" s="196"/>
      <c r="G440" s="196"/>
      <c r="H440" s="196"/>
      <c r="I440" s="321"/>
      <c r="J440" s="328"/>
      <c r="K440" s="328"/>
      <c r="L440" s="328"/>
      <c r="M440" s="328"/>
      <c r="N440" s="328"/>
      <c r="O440" s="328"/>
      <c r="P440" s="127"/>
      <c r="Q440" s="101"/>
      <c r="R440" s="102"/>
      <c r="S440" s="102"/>
    </row>
    <row r="441" spans="1:19" ht="15" customHeight="1">
      <c r="A441" s="191" t="s">
        <v>6</v>
      </c>
      <c r="B441" s="191"/>
      <c r="C441" s="193" t="s">
        <v>428</v>
      </c>
      <c r="D441" s="104" t="s">
        <v>20</v>
      </c>
      <c r="E441" s="105"/>
      <c r="F441" s="350"/>
      <c r="G441" s="350"/>
      <c r="H441" s="351">
        <v>357</v>
      </c>
      <c r="I441" s="321"/>
      <c r="J441" s="328"/>
      <c r="K441" s="328">
        <f t="shared" ref="K441:K447" si="1">I441+J441</f>
        <v>0</v>
      </c>
      <c r="L441" s="328">
        <f t="shared" ref="L441:L447" si="2">H441*I441</f>
        <v>0</v>
      </c>
      <c r="M441" s="328">
        <f t="shared" ref="M441:M447" si="3">H441*J441</f>
        <v>0</v>
      </c>
      <c r="N441" s="328">
        <f t="shared" ref="N441:N447" si="4">SUM(L441:M441)</f>
        <v>0</v>
      </c>
      <c r="O441" s="352"/>
      <c r="P441" s="127"/>
      <c r="R441" s="102"/>
      <c r="S441" s="102"/>
    </row>
    <row r="442" spans="1:19">
      <c r="A442" s="192"/>
      <c r="B442" s="192"/>
      <c r="C442" s="194"/>
      <c r="D442" s="104" t="s">
        <v>20</v>
      </c>
      <c r="E442" s="105"/>
      <c r="F442" s="350"/>
      <c r="G442" s="350"/>
      <c r="H442" s="351">
        <v>329</v>
      </c>
      <c r="I442" s="321"/>
      <c r="J442" s="328"/>
      <c r="K442" s="328">
        <f t="shared" si="1"/>
        <v>0</v>
      </c>
      <c r="L442" s="328">
        <f t="shared" si="2"/>
        <v>0</v>
      </c>
      <c r="M442" s="328">
        <f t="shared" si="3"/>
        <v>0</v>
      </c>
      <c r="N442" s="328">
        <f t="shared" si="4"/>
        <v>0</v>
      </c>
      <c r="O442" s="352"/>
      <c r="P442" s="127"/>
      <c r="R442" s="102"/>
      <c r="S442" s="102"/>
    </row>
    <row r="443" spans="1:19">
      <c r="A443" s="191" t="s">
        <v>9</v>
      </c>
      <c r="B443" s="191"/>
      <c r="C443" s="193" t="s">
        <v>429</v>
      </c>
      <c r="D443" s="104" t="s">
        <v>20</v>
      </c>
      <c r="E443" s="105"/>
      <c r="F443" s="350"/>
      <c r="G443" s="350"/>
      <c r="H443" s="351">
        <v>193</v>
      </c>
      <c r="I443" s="321"/>
      <c r="J443" s="328"/>
      <c r="K443" s="328">
        <f t="shared" si="1"/>
        <v>0</v>
      </c>
      <c r="L443" s="328">
        <f t="shared" si="2"/>
        <v>0</v>
      </c>
      <c r="M443" s="328">
        <f t="shared" si="3"/>
        <v>0</v>
      </c>
      <c r="N443" s="328">
        <f t="shared" si="4"/>
        <v>0</v>
      </c>
      <c r="O443" s="352"/>
      <c r="P443" s="127"/>
      <c r="R443" s="102"/>
      <c r="S443" s="102"/>
    </row>
    <row r="444" spans="1:19">
      <c r="A444" s="192"/>
      <c r="B444" s="192"/>
      <c r="C444" s="194"/>
      <c r="D444" s="104" t="s">
        <v>20</v>
      </c>
      <c r="E444" s="105"/>
      <c r="F444" s="350"/>
      <c r="G444" s="350"/>
      <c r="H444" s="351">
        <v>195</v>
      </c>
      <c r="I444" s="321"/>
      <c r="J444" s="328"/>
      <c r="K444" s="328">
        <f t="shared" si="1"/>
        <v>0</v>
      </c>
      <c r="L444" s="328">
        <f t="shared" si="2"/>
        <v>0</v>
      </c>
      <c r="M444" s="328">
        <f t="shared" si="3"/>
        <v>0</v>
      </c>
      <c r="N444" s="328">
        <f t="shared" si="4"/>
        <v>0</v>
      </c>
      <c r="O444" s="352"/>
      <c r="P444" s="127"/>
      <c r="R444" s="102"/>
      <c r="S444" s="102"/>
    </row>
    <row r="445" spans="1:19" ht="32.25" customHeight="1">
      <c r="A445" s="125" t="s">
        <v>10</v>
      </c>
      <c r="B445" s="125"/>
      <c r="C445" s="126" t="s">
        <v>430</v>
      </c>
      <c r="D445" s="104" t="s">
        <v>20</v>
      </c>
      <c r="E445" s="105"/>
      <c r="F445" s="350"/>
      <c r="G445" s="350"/>
      <c r="H445" s="351">
        <v>1</v>
      </c>
      <c r="I445" s="321"/>
      <c r="J445" s="328"/>
      <c r="K445" s="328">
        <f t="shared" si="1"/>
        <v>0</v>
      </c>
      <c r="L445" s="328">
        <f t="shared" si="2"/>
        <v>0</v>
      </c>
      <c r="M445" s="328">
        <f t="shared" si="3"/>
        <v>0</v>
      </c>
      <c r="N445" s="328">
        <f t="shared" si="4"/>
        <v>0</v>
      </c>
      <c r="O445" s="353"/>
      <c r="P445" s="127"/>
      <c r="R445" s="102"/>
      <c r="S445" s="102"/>
    </row>
    <row r="446" spans="1:19" ht="39.75" customHeight="1">
      <c r="A446" s="125" t="s">
        <v>11</v>
      </c>
      <c r="B446" s="125"/>
      <c r="C446" s="126" t="s">
        <v>431</v>
      </c>
      <c r="D446" s="104" t="s">
        <v>20</v>
      </c>
      <c r="E446" s="105"/>
      <c r="F446" s="350"/>
      <c r="G446" s="350"/>
      <c r="H446" s="351">
        <v>2</v>
      </c>
      <c r="I446" s="321"/>
      <c r="J446" s="328"/>
      <c r="K446" s="328">
        <f t="shared" si="1"/>
        <v>0</v>
      </c>
      <c r="L446" s="328">
        <f t="shared" si="2"/>
        <v>0</v>
      </c>
      <c r="M446" s="328">
        <f t="shared" si="3"/>
        <v>0</v>
      </c>
      <c r="N446" s="328">
        <f t="shared" si="4"/>
        <v>0</v>
      </c>
      <c r="O446" s="353"/>
      <c r="P446" s="127"/>
      <c r="R446" s="102"/>
      <c r="S446" s="102"/>
    </row>
    <row r="447" spans="1:19" ht="36.75" customHeight="1">
      <c r="A447" s="125" t="s">
        <v>12</v>
      </c>
      <c r="B447" s="128"/>
      <c r="C447" s="126" t="s">
        <v>432</v>
      </c>
      <c r="D447" s="104" t="s">
        <v>20</v>
      </c>
      <c r="E447" s="105"/>
      <c r="F447" s="350"/>
      <c r="G447" s="350"/>
      <c r="H447" s="351">
        <v>1</v>
      </c>
      <c r="I447" s="321"/>
      <c r="J447" s="328"/>
      <c r="K447" s="328">
        <f t="shared" si="1"/>
        <v>0</v>
      </c>
      <c r="L447" s="328">
        <f t="shared" si="2"/>
        <v>0</v>
      </c>
      <c r="M447" s="328">
        <f t="shared" si="3"/>
        <v>0</v>
      </c>
      <c r="N447" s="328">
        <f t="shared" si="4"/>
        <v>0</v>
      </c>
      <c r="O447" s="353"/>
      <c r="P447" s="127"/>
      <c r="R447" s="102"/>
      <c r="S447" s="102"/>
    </row>
    <row r="448" spans="1:19" ht="18.75" customHeight="1">
      <c r="A448" s="135"/>
      <c r="B448" s="188" t="s">
        <v>393</v>
      </c>
      <c r="C448" s="189"/>
      <c r="D448" s="106"/>
      <c r="E448" s="107"/>
      <c r="F448" s="354"/>
      <c r="G448" s="354"/>
      <c r="H448" s="354"/>
      <c r="I448" s="355"/>
      <c r="J448" s="355"/>
      <c r="K448" s="355">
        <f>SUM(K16:K447)</f>
        <v>0</v>
      </c>
      <c r="L448" s="355">
        <f t="shared" ref="L448:N448" si="5">SUM(L16:L447)</f>
        <v>0</v>
      </c>
      <c r="M448" s="355">
        <f t="shared" si="5"/>
        <v>0</v>
      </c>
      <c r="N448" s="355">
        <f t="shared" si="5"/>
        <v>0</v>
      </c>
      <c r="O448" s="356"/>
      <c r="P448" s="108"/>
      <c r="R448" s="102"/>
      <c r="S448" s="102"/>
    </row>
    <row r="449" spans="1:19">
      <c r="A449" s="109"/>
      <c r="B449" s="109"/>
      <c r="C449" s="109"/>
      <c r="D449" s="109"/>
      <c r="E449" s="87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86"/>
      <c r="Q449" s="86"/>
      <c r="R449" s="86"/>
      <c r="S449" s="86"/>
    </row>
    <row r="450" spans="1:19">
      <c r="A450" s="110" t="s">
        <v>6</v>
      </c>
      <c r="B450" s="190" t="s">
        <v>394</v>
      </c>
      <c r="C450" s="190"/>
      <c r="D450" s="190"/>
      <c r="E450" s="190"/>
      <c r="F450" s="190"/>
      <c r="G450" s="190"/>
      <c r="H450" s="190"/>
      <c r="I450" s="190"/>
      <c r="J450" s="357"/>
      <c r="K450" s="357"/>
      <c r="L450" s="357"/>
      <c r="M450" s="358"/>
      <c r="N450" s="358"/>
      <c r="O450" s="358"/>
      <c r="P450" s="111"/>
      <c r="Q450" s="111"/>
      <c r="R450" s="111"/>
      <c r="S450" s="111"/>
    </row>
    <row r="451" spans="1:19">
      <c r="A451" s="112" t="s">
        <v>9</v>
      </c>
      <c r="B451" s="186" t="s">
        <v>395</v>
      </c>
      <c r="C451" s="186"/>
      <c r="D451" s="186"/>
      <c r="E451" s="186"/>
      <c r="F451" s="186"/>
      <c r="G451" s="186"/>
      <c r="H451" s="186"/>
      <c r="I451" s="186"/>
      <c r="J451" s="359"/>
      <c r="K451" s="359"/>
      <c r="L451" s="359"/>
      <c r="M451" s="358"/>
      <c r="N451" s="358"/>
      <c r="O451" s="358"/>
      <c r="P451" s="111"/>
      <c r="Q451" s="111"/>
      <c r="R451" s="111"/>
      <c r="S451" s="111"/>
    </row>
    <row r="452" spans="1:19">
      <c r="A452" s="110" t="s">
        <v>253</v>
      </c>
      <c r="B452" s="187" t="s">
        <v>396</v>
      </c>
      <c r="C452" s="187"/>
      <c r="D452" s="187"/>
      <c r="E452" s="187"/>
      <c r="F452" s="187"/>
      <c r="G452" s="187"/>
      <c r="H452" s="187"/>
      <c r="I452" s="187"/>
      <c r="J452" s="360" t="s">
        <v>435</v>
      </c>
      <c r="K452" s="360"/>
      <c r="L452" s="360"/>
      <c r="M452" s="358"/>
      <c r="N452" s="358"/>
      <c r="O452" s="358"/>
      <c r="P452" s="111"/>
      <c r="Q452" s="111"/>
      <c r="R452" s="111"/>
      <c r="S452" s="111"/>
    </row>
    <row r="453" spans="1:19">
      <c r="A453" s="110" t="s">
        <v>275</v>
      </c>
      <c r="B453" s="187" t="s">
        <v>397</v>
      </c>
      <c r="C453" s="187"/>
      <c r="D453" s="187"/>
      <c r="E453" s="187"/>
      <c r="F453" s="187"/>
      <c r="G453" s="187"/>
      <c r="H453" s="187"/>
      <c r="I453" s="187"/>
      <c r="J453" s="361" t="s">
        <v>398</v>
      </c>
      <c r="K453" s="361"/>
      <c r="L453" s="361"/>
      <c r="M453" s="358"/>
      <c r="N453" s="358"/>
      <c r="O453" s="358"/>
      <c r="P453" s="111"/>
      <c r="Q453" s="111"/>
      <c r="R453" s="111"/>
      <c r="S453" s="111"/>
    </row>
    <row r="454" spans="1:19">
      <c r="A454" s="110" t="s">
        <v>285</v>
      </c>
      <c r="B454" s="187" t="s">
        <v>399</v>
      </c>
      <c r="C454" s="187"/>
      <c r="D454" s="187"/>
      <c r="E454" s="187"/>
      <c r="F454" s="187"/>
      <c r="G454" s="187"/>
      <c r="H454" s="187"/>
      <c r="I454" s="187"/>
      <c r="J454" s="361" t="s">
        <v>400</v>
      </c>
      <c r="K454" s="361"/>
      <c r="L454" s="361"/>
      <c r="M454" s="358"/>
      <c r="N454" s="358"/>
      <c r="O454" s="358"/>
      <c r="P454" s="111"/>
      <c r="Q454" s="111"/>
      <c r="R454" s="111"/>
      <c r="S454" s="111"/>
    </row>
    <row r="455" spans="1:19">
      <c r="A455" s="110" t="s">
        <v>401</v>
      </c>
      <c r="B455" s="187" t="s">
        <v>402</v>
      </c>
      <c r="C455" s="187"/>
      <c r="D455" s="187"/>
      <c r="E455" s="187"/>
      <c r="F455" s="187"/>
      <c r="G455" s="187"/>
      <c r="H455" s="187"/>
      <c r="I455" s="187"/>
      <c r="J455" s="362"/>
      <c r="K455" s="362"/>
      <c r="L455" s="362"/>
      <c r="M455" s="358"/>
      <c r="N455" s="358"/>
      <c r="O455" s="358"/>
      <c r="P455" s="111"/>
      <c r="Q455" s="111"/>
      <c r="R455" s="111"/>
      <c r="S455" s="111"/>
    </row>
    <row r="456" spans="1:19">
      <c r="A456" s="110" t="s">
        <v>403</v>
      </c>
      <c r="B456" s="183" t="s">
        <v>404</v>
      </c>
      <c r="C456" s="183"/>
      <c r="D456" s="183"/>
      <c r="E456" s="183"/>
      <c r="F456" s="183"/>
      <c r="G456" s="183"/>
      <c r="H456" s="183"/>
      <c r="I456" s="183"/>
      <c r="J456" s="363"/>
      <c r="K456" s="363"/>
      <c r="L456" s="363"/>
      <c r="M456" s="358"/>
      <c r="N456" s="358"/>
      <c r="O456" s="358"/>
      <c r="P456" s="111"/>
      <c r="Q456" s="111"/>
      <c r="R456" s="111"/>
      <c r="S456" s="111"/>
    </row>
    <row r="457" spans="1:19">
      <c r="A457" s="112" t="s">
        <v>10</v>
      </c>
      <c r="B457" s="186" t="s">
        <v>405</v>
      </c>
      <c r="C457" s="186"/>
      <c r="D457" s="186"/>
      <c r="E457" s="186"/>
      <c r="F457" s="186"/>
      <c r="G457" s="186"/>
      <c r="H457" s="186"/>
      <c r="I457" s="186"/>
      <c r="J457" s="359"/>
      <c r="K457" s="359"/>
      <c r="L457" s="359"/>
      <c r="M457" s="358"/>
      <c r="N457" s="358"/>
      <c r="O457" s="358"/>
      <c r="P457" s="111"/>
      <c r="Q457" s="111"/>
      <c r="R457" s="111"/>
      <c r="S457" s="111"/>
    </row>
    <row r="458" spans="1:19" ht="66" customHeight="1">
      <c r="A458" s="113" t="s">
        <v>406</v>
      </c>
      <c r="B458" s="185" t="s">
        <v>407</v>
      </c>
      <c r="C458" s="185"/>
      <c r="D458" s="185"/>
      <c r="E458" s="185"/>
      <c r="F458" s="185"/>
      <c r="G458" s="185"/>
      <c r="H458" s="185"/>
      <c r="I458" s="185"/>
      <c r="J458" s="360" t="s">
        <v>408</v>
      </c>
      <c r="K458" s="360"/>
      <c r="L458" s="360"/>
      <c r="M458" s="358"/>
      <c r="N458" s="358"/>
      <c r="O458" s="358"/>
      <c r="P458" s="111"/>
      <c r="Q458" s="111"/>
      <c r="R458" s="111"/>
      <c r="S458" s="111"/>
    </row>
    <row r="459" spans="1:19" ht="53.25" customHeight="1">
      <c r="A459" s="113" t="s">
        <v>409</v>
      </c>
      <c r="B459" s="185" t="s">
        <v>410</v>
      </c>
      <c r="C459" s="185"/>
      <c r="D459" s="185"/>
      <c r="E459" s="185"/>
      <c r="F459" s="185"/>
      <c r="G459" s="185"/>
      <c r="H459" s="185"/>
      <c r="I459" s="185"/>
      <c r="J459" s="360" t="s">
        <v>408</v>
      </c>
      <c r="K459" s="360"/>
      <c r="L459" s="360"/>
      <c r="M459" s="358"/>
      <c r="N459" s="358"/>
      <c r="O459" s="358"/>
      <c r="P459" s="111"/>
      <c r="Q459" s="111"/>
      <c r="R459" s="111"/>
      <c r="S459" s="111"/>
    </row>
    <row r="460" spans="1:19" ht="45.75" customHeight="1">
      <c r="A460" s="113" t="s">
        <v>411</v>
      </c>
      <c r="B460" s="185" t="s">
        <v>412</v>
      </c>
      <c r="C460" s="185"/>
      <c r="D460" s="185"/>
      <c r="E460" s="185"/>
      <c r="F460" s="185"/>
      <c r="G460" s="185"/>
      <c r="H460" s="185"/>
      <c r="I460" s="185"/>
      <c r="J460" s="360" t="s">
        <v>408</v>
      </c>
      <c r="K460" s="360"/>
      <c r="L460" s="360"/>
      <c r="M460" s="358"/>
      <c r="N460" s="358"/>
      <c r="O460" s="358"/>
      <c r="P460" s="111"/>
      <c r="Q460" s="111"/>
      <c r="R460" s="111"/>
      <c r="S460" s="111"/>
    </row>
    <row r="461" spans="1:19" ht="38.25" customHeight="1">
      <c r="A461" s="113" t="s">
        <v>413</v>
      </c>
      <c r="B461" s="185" t="s">
        <v>414</v>
      </c>
      <c r="C461" s="185"/>
      <c r="D461" s="185"/>
      <c r="E461" s="185"/>
      <c r="F461" s="185"/>
      <c r="G461" s="185"/>
      <c r="H461" s="185"/>
      <c r="I461" s="185"/>
      <c r="J461" s="360" t="s">
        <v>408</v>
      </c>
      <c r="K461" s="360"/>
      <c r="L461" s="360"/>
      <c r="M461" s="358"/>
      <c r="N461" s="358"/>
      <c r="O461" s="358"/>
      <c r="P461" s="111"/>
      <c r="Q461" s="111"/>
      <c r="R461" s="111"/>
      <c r="S461" s="111"/>
    </row>
    <row r="462" spans="1:19" ht="26.25" customHeight="1">
      <c r="A462" s="113" t="s">
        <v>415</v>
      </c>
      <c r="B462" s="183" t="s">
        <v>416</v>
      </c>
      <c r="C462" s="183"/>
      <c r="D462" s="183"/>
      <c r="E462" s="183"/>
      <c r="F462" s="183"/>
      <c r="G462" s="183"/>
      <c r="H462" s="183"/>
      <c r="I462" s="183"/>
      <c r="J462" s="360" t="s">
        <v>408</v>
      </c>
      <c r="K462" s="360"/>
      <c r="L462" s="360"/>
      <c r="M462" s="358"/>
      <c r="N462" s="358"/>
      <c r="O462" s="358"/>
      <c r="P462" s="111"/>
      <c r="Q462" s="111"/>
      <c r="R462" s="111"/>
      <c r="S462" s="111"/>
    </row>
    <row r="463" spans="1:19" ht="30" customHeight="1">
      <c r="A463" s="113" t="s">
        <v>417</v>
      </c>
      <c r="B463" s="183" t="s">
        <v>418</v>
      </c>
      <c r="C463" s="183"/>
      <c r="D463" s="183"/>
      <c r="E463" s="183"/>
      <c r="F463" s="183"/>
      <c r="G463" s="183"/>
      <c r="H463" s="183"/>
      <c r="I463" s="183"/>
      <c r="J463" s="364" t="s">
        <v>408</v>
      </c>
      <c r="K463" s="365"/>
      <c r="L463" s="366"/>
      <c r="M463" s="358"/>
      <c r="N463" s="358"/>
      <c r="O463" s="358"/>
      <c r="P463" s="111"/>
      <c r="Q463" s="111"/>
      <c r="R463" s="111"/>
      <c r="S463" s="111"/>
    </row>
    <row r="464" spans="1:19">
      <c r="A464" s="114"/>
      <c r="B464" s="115"/>
      <c r="C464" s="114"/>
      <c r="D464" s="116"/>
      <c r="E464" s="88"/>
      <c r="F464" s="293"/>
      <c r="G464" s="293"/>
      <c r="H464" s="293"/>
      <c r="I464" s="293"/>
      <c r="J464" s="293"/>
      <c r="K464" s="293"/>
      <c r="L464" s="293"/>
      <c r="M464" s="358"/>
      <c r="N464" s="358"/>
      <c r="O464" s="358"/>
      <c r="P464" s="111"/>
      <c r="Q464" s="111"/>
      <c r="R464" s="111"/>
      <c r="S464" s="111"/>
    </row>
    <row r="465" spans="1:19">
      <c r="A465" s="117"/>
      <c r="B465" s="184" t="s">
        <v>419</v>
      </c>
      <c r="C465" s="184"/>
      <c r="D465" s="184"/>
      <c r="E465" s="184"/>
      <c r="F465" s="184"/>
      <c r="G465" s="184"/>
      <c r="H465" s="293"/>
      <c r="I465" s="293"/>
      <c r="J465" s="293"/>
      <c r="K465" s="293"/>
      <c r="L465" s="293"/>
      <c r="M465" s="358"/>
      <c r="N465" s="358"/>
      <c r="O465" s="358"/>
      <c r="P465" s="111"/>
      <c r="Q465" s="111"/>
      <c r="R465" s="111"/>
      <c r="S465" s="111"/>
    </row>
    <row r="466" spans="1:19">
      <c r="A466" s="118"/>
      <c r="B466" s="119"/>
      <c r="D466" s="120"/>
      <c r="E466" s="91"/>
      <c r="H466" s="293"/>
      <c r="I466" s="293"/>
      <c r="J466" s="293"/>
      <c r="K466" s="293"/>
      <c r="L466" s="293"/>
      <c r="M466" s="358"/>
      <c r="N466" s="358"/>
      <c r="O466" s="358"/>
      <c r="P466" s="111"/>
      <c r="Q466" s="111"/>
      <c r="R466" s="111"/>
      <c r="S466" s="111"/>
    </row>
    <row r="467" spans="1:19">
      <c r="A467" s="118"/>
      <c r="B467" s="182" t="s">
        <v>420</v>
      </c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358"/>
      <c r="N467" s="358"/>
      <c r="O467" s="358"/>
      <c r="P467" s="111"/>
      <c r="Q467" s="111"/>
      <c r="R467" s="111"/>
      <c r="S467" s="111"/>
    </row>
    <row r="468" spans="1:19">
      <c r="A468" s="118"/>
      <c r="B468" s="121"/>
      <c r="C468" s="121"/>
      <c r="D468" s="121"/>
      <c r="E468" s="122"/>
      <c r="F468" s="367"/>
      <c r="G468" s="367"/>
      <c r="H468" s="367"/>
      <c r="I468" s="367"/>
      <c r="J468" s="367"/>
      <c r="K468" s="367"/>
      <c r="L468" s="367"/>
      <c r="M468" s="358"/>
      <c r="N468" s="358"/>
      <c r="O468" s="358"/>
      <c r="P468" s="111"/>
      <c r="Q468" s="111"/>
      <c r="R468" s="111"/>
      <c r="S468" s="111"/>
    </row>
    <row r="469" spans="1:19">
      <c r="A469" s="118"/>
      <c r="B469" s="123" t="s">
        <v>421</v>
      </c>
      <c r="C469" s="123"/>
      <c r="D469" s="123"/>
      <c r="E469" s="124"/>
      <c r="F469" s="368"/>
      <c r="G469" s="368"/>
      <c r="H469" s="368"/>
      <c r="I469" s="368"/>
      <c r="J469" s="368"/>
      <c r="K469" s="368"/>
      <c r="L469" s="368"/>
      <c r="M469" s="358"/>
      <c r="N469" s="358"/>
      <c r="O469" s="358"/>
      <c r="P469" s="111"/>
      <c r="Q469" s="111"/>
      <c r="R469" s="111"/>
      <c r="S469" s="111"/>
    </row>
    <row r="470" spans="1:19">
      <c r="A470" s="118"/>
      <c r="B470" s="123" t="s">
        <v>422</v>
      </c>
      <c r="C470" s="123"/>
      <c r="D470" s="123"/>
      <c r="E470" s="124"/>
      <c r="F470" s="368"/>
      <c r="G470" s="368"/>
      <c r="H470" s="368"/>
      <c r="I470" s="368"/>
      <c r="J470" s="368"/>
      <c r="K470" s="368"/>
      <c r="L470" s="368"/>
      <c r="M470" s="358"/>
      <c r="N470" s="358"/>
      <c r="O470" s="358"/>
      <c r="P470" s="111"/>
      <c r="Q470" s="111"/>
      <c r="R470" s="111"/>
      <c r="S470" s="111"/>
    </row>
    <row r="471" spans="1:19">
      <c r="A471" s="114"/>
      <c r="B471" s="123" t="s">
        <v>423</v>
      </c>
      <c r="C471" s="123"/>
      <c r="D471" s="123"/>
      <c r="E471" s="124"/>
      <c r="F471" s="368"/>
      <c r="G471" s="368"/>
      <c r="H471" s="368"/>
      <c r="I471" s="368"/>
      <c r="J471" s="368"/>
      <c r="K471" s="368"/>
      <c r="L471" s="368"/>
      <c r="M471" s="358"/>
      <c r="N471" s="358"/>
      <c r="O471" s="358"/>
      <c r="P471" s="111"/>
      <c r="Q471" s="111"/>
      <c r="R471" s="111"/>
      <c r="S471" s="111"/>
    </row>
    <row r="472" spans="1:19">
      <c r="A472" s="114"/>
      <c r="B472" s="123" t="s">
        <v>424</v>
      </c>
      <c r="C472" s="123"/>
      <c r="D472" s="123"/>
      <c r="E472" s="124"/>
      <c r="F472" s="368"/>
      <c r="G472" s="368"/>
      <c r="H472" s="368"/>
      <c r="I472" s="368"/>
      <c r="J472" s="368"/>
      <c r="K472" s="368"/>
      <c r="L472" s="368"/>
      <c r="M472" s="358"/>
      <c r="N472" s="358"/>
      <c r="O472" s="358"/>
      <c r="P472" s="111"/>
      <c r="Q472" s="111"/>
      <c r="R472" s="111"/>
      <c r="S472" s="111"/>
    </row>
    <row r="473" spans="1:19">
      <c r="A473" s="114"/>
      <c r="B473" s="123" t="s">
        <v>425</v>
      </c>
      <c r="C473" s="123"/>
      <c r="D473" s="123"/>
      <c r="E473" s="124"/>
      <c r="F473" s="368"/>
      <c r="G473" s="368"/>
      <c r="H473" s="368"/>
      <c r="I473" s="368"/>
      <c r="J473" s="368"/>
      <c r="K473" s="368"/>
      <c r="L473" s="368"/>
      <c r="M473" s="358"/>
      <c r="N473" s="358"/>
      <c r="O473" s="358"/>
      <c r="P473" s="111"/>
      <c r="Q473" s="111"/>
      <c r="R473" s="111"/>
      <c r="S473" s="111"/>
    </row>
    <row r="474" spans="1:19">
      <c r="A474" s="114"/>
      <c r="B474" s="123" t="s">
        <v>426</v>
      </c>
      <c r="C474" s="123"/>
      <c r="D474" s="123"/>
      <c r="E474" s="124"/>
      <c r="F474" s="368"/>
      <c r="G474" s="368"/>
      <c r="H474" s="368"/>
      <c r="I474" s="368"/>
      <c r="J474" s="368"/>
      <c r="K474" s="368"/>
      <c r="L474" s="368"/>
      <c r="M474" s="358"/>
      <c r="N474" s="358"/>
      <c r="O474" s="358"/>
      <c r="P474" s="111"/>
      <c r="Q474" s="111"/>
      <c r="R474" s="111"/>
      <c r="S474" s="111"/>
    </row>
    <row r="475" spans="1:19">
      <c r="A475" s="114"/>
      <c r="B475" s="123" t="s">
        <v>427</v>
      </c>
      <c r="C475" s="123"/>
      <c r="D475" s="123"/>
      <c r="E475" s="124"/>
      <c r="F475" s="368"/>
      <c r="G475" s="368"/>
      <c r="H475" s="368"/>
      <c r="I475" s="368"/>
      <c r="J475" s="368"/>
      <c r="K475" s="368"/>
      <c r="L475" s="368"/>
      <c r="M475" s="358"/>
      <c r="N475" s="358"/>
      <c r="O475" s="358"/>
      <c r="P475" s="111"/>
      <c r="Q475" s="111"/>
      <c r="R475" s="111"/>
      <c r="S475" s="111"/>
    </row>
    <row r="476" spans="1:19">
      <c r="A476" s="114"/>
      <c r="B476" s="1"/>
      <c r="C476" s="1"/>
      <c r="D476" s="1"/>
      <c r="E476" s="91"/>
      <c r="I476" s="296"/>
      <c r="M476" s="358"/>
      <c r="N476" s="358"/>
      <c r="O476" s="358"/>
      <c r="P476" s="111"/>
      <c r="Q476" s="111"/>
      <c r="R476" s="111"/>
      <c r="S476" s="111"/>
    </row>
    <row r="477" spans="1:19">
      <c r="A477" s="114"/>
      <c r="B477" s="115"/>
      <c r="C477" s="114"/>
      <c r="D477" s="116"/>
      <c r="E477" s="88"/>
      <c r="F477" s="293"/>
      <c r="G477" s="293"/>
      <c r="H477" s="293"/>
      <c r="I477" s="293"/>
      <c r="J477" s="293"/>
      <c r="K477" s="293"/>
      <c r="L477" s="293"/>
      <c r="M477" s="358"/>
      <c r="N477" s="358"/>
      <c r="O477" s="358"/>
      <c r="P477" s="111"/>
      <c r="Q477" s="111"/>
      <c r="R477" s="111"/>
      <c r="S477" s="111"/>
    </row>
    <row r="478" spans="1:19">
      <c r="A478" s="114"/>
      <c r="B478" s="115"/>
      <c r="C478" s="114"/>
      <c r="D478" s="116"/>
      <c r="E478" s="88"/>
      <c r="F478" s="293"/>
      <c r="G478" s="293"/>
      <c r="H478" s="293"/>
      <c r="I478" s="293"/>
      <c r="J478" s="293"/>
      <c r="K478" s="293"/>
      <c r="L478" s="293"/>
      <c r="M478" s="358"/>
      <c r="N478" s="358"/>
      <c r="O478" s="358"/>
      <c r="P478" s="111"/>
      <c r="Q478" s="111"/>
      <c r="R478" s="111"/>
      <c r="S478" s="111"/>
    </row>
  </sheetData>
  <autoFilter ref="A30:H115"/>
  <mergeCells count="92">
    <mergeCell ref="A398:A399"/>
    <mergeCell ref="B398:B399"/>
    <mergeCell ref="C398:C399"/>
    <mergeCell ref="A403:H403"/>
    <mergeCell ref="A419:H419"/>
    <mergeCell ref="A387:A388"/>
    <mergeCell ref="B387:B388"/>
    <mergeCell ref="C387:C388"/>
    <mergeCell ref="A393:A394"/>
    <mergeCell ref="B393:B394"/>
    <mergeCell ref="C393:C394"/>
    <mergeCell ref="A377:A378"/>
    <mergeCell ref="B377:B378"/>
    <mergeCell ref="C377:C378"/>
    <mergeCell ref="A382:A383"/>
    <mergeCell ref="B382:B383"/>
    <mergeCell ref="C382:C383"/>
    <mergeCell ref="A360:H360"/>
    <mergeCell ref="A367:A368"/>
    <mergeCell ref="B367:B368"/>
    <mergeCell ref="C367:C368"/>
    <mergeCell ref="A372:A373"/>
    <mergeCell ref="B372:B373"/>
    <mergeCell ref="C372:C373"/>
    <mergeCell ref="C340:H340"/>
    <mergeCell ref="A352:H352"/>
    <mergeCell ref="A353:H353"/>
    <mergeCell ref="A355:A356"/>
    <mergeCell ref="B355:B356"/>
    <mergeCell ref="C355:C356"/>
    <mergeCell ref="A5:N5"/>
    <mergeCell ref="A6:N6"/>
    <mergeCell ref="A7:N7"/>
    <mergeCell ref="A8:N8"/>
    <mergeCell ref="I11:K13"/>
    <mergeCell ref="L11:N13"/>
    <mergeCell ref="A11:A14"/>
    <mergeCell ref="B11:B14"/>
    <mergeCell ref="C11:C14"/>
    <mergeCell ref="D11:D14"/>
    <mergeCell ref="E11:E14"/>
    <mergeCell ref="F11:H13"/>
    <mergeCell ref="O443:O444"/>
    <mergeCell ref="O11:O14"/>
    <mergeCell ref="A440:H440"/>
    <mergeCell ref="A441:A442"/>
    <mergeCell ref="B441:B442"/>
    <mergeCell ref="C441:C442"/>
    <mergeCell ref="O441:O442"/>
    <mergeCell ref="A25:H25"/>
    <mergeCell ref="C191:H191"/>
    <mergeCell ref="C217:H217"/>
    <mergeCell ref="A15:H15"/>
    <mergeCell ref="A362:A363"/>
    <mergeCell ref="B362:B363"/>
    <mergeCell ref="C362:C363"/>
    <mergeCell ref="C226:H226"/>
    <mergeCell ref="C332:H332"/>
    <mergeCell ref="B448:C448"/>
    <mergeCell ref="B450:I450"/>
    <mergeCell ref="A443:A444"/>
    <mergeCell ref="B443:B444"/>
    <mergeCell ref="C443:C444"/>
    <mergeCell ref="J450:L450"/>
    <mergeCell ref="B451:I451"/>
    <mergeCell ref="J451:L451"/>
    <mergeCell ref="B452:I452"/>
    <mergeCell ref="J452:L452"/>
    <mergeCell ref="B453:I453"/>
    <mergeCell ref="J453:L453"/>
    <mergeCell ref="B454:I454"/>
    <mergeCell ref="J454:L454"/>
    <mergeCell ref="B455:I455"/>
    <mergeCell ref="J455:L455"/>
    <mergeCell ref="B456:I456"/>
    <mergeCell ref="J456:L456"/>
    <mergeCell ref="B457:I457"/>
    <mergeCell ref="J457:L457"/>
    <mergeCell ref="B458:I458"/>
    <mergeCell ref="J458:L458"/>
    <mergeCell ref="B459:I459"/>
    <mergeCell ref="J459:L459"/>
    <mergeCell ref="B460:I460"/>
    <mergeCell ref="J460:L460"/>
    <mergeCell ref="B461:I461"/>
    <mergeCell ref="J461:L461"/>
    <mergeCell ref="B467:L467"/>
    <mergeCell ref="B462:I462"/>
    <mergeCell ref="J462:L462"/>
    <mergeCell ref="B463:I463"/>
    <mergeCell ref="J463:L463"/>
    <mergeCell ref="B465:G465"/>
  </mergeCells>
  <conditionalFormatting sqref="F165:H165 F203:H203 F205:H205 F405:G407 H405 F36:H39 F119:H122 F234:H237 F441:G447">
    <cfRule type="cellIs" dxfId="355" priority="446" operator="lessThan">
      <formula>0</formula>
    </cfRule>
  </conditionalFormatting>
  <conditionalFormatting sqref="F148:H148">
    <cfRule type="cellIs" dxfId="354" priority="445" operator="lessThan">
      <formula>0</formula>
    </cfRule>
  </conditionalFormatting>
  <conditionalFormatting sqref="F136:H136">
    <cfRule type="cellIs" dxfId="353" priority="444" operator="lessThan">
      <formula>0</formula>
    </cfRule>
  </conditionalFormatting>
  <conditionalFormatting sqref="F60:H60">
    <cfRule type="cellIs" dxfId="352" priority="434" operator="lessThan">
      <formula>0</formula>
    </cfRule>
  </conditionalFormatting>
  <conditionalFormatting sqref="F56:H56">
    <cfRule type="cellIs" dxfId="351" priority="433" operator="lessThan">
      <formula>0</formula>
    </cfRule>
  </conditionalFormatting>
  <conditionalFormatting sqref="F430:H430">
    <cfRule type="cellIs" dxfId="350" priority="440" operator="lessThan">
      <formula>0</formula>
    </cfRule>
  </conditionalFormatting>
  <conditionalFormatting sqref="F34:H34">
    <cfRule type="cellIs" dxfId="349" priority="438" operator="lessThan">
      <formula>0</formula>
    </cfRule>
  </conditionalFormatting>
  <conditionalFormatting sqref="F65:H65">
    <cfRule type="cellIs" dxfId="348" priority="431" operator="lessThan">
      <formula>0</formula>
    </cfRule>
  </conditionalFormatting>
  <conditionalFormatting sqref="F53:H53">
    <cfRule type="cellIs" dxfId="347" priority="435" operator="lessThan">
      <formula>0</formula>
    </cfRule>
  </conditionalFormatting>
  <conditionalFormatting sqref="F63:H63">
    <cfRule type="cellIs" dxfId="346" priority="432" operator="lessThan">
      <formula>0</formula>
    </cfRule>
  </conditionalFormatting>
  <conditionalFormatting sqref="F67:H67">
    <cfRule type="cellIs" dxfId="345" priority="430" operator="lessThan">
      <formula>0</formula>
    </cfRule>
  </conditionalFormatting>
  <conditionalFormatting sqref="F69:H69">
    <cfRule type="cellIs" dxfId="344" priority="429" operator="lessThan">
      <formula>0</formula>
    </cfRule>
  </conditionalFormatting>
  <conditionalFormatting sqref="F30:H30">
    <cfRule type="cellIs" dxfId="343" priority="439" operator="lessThan">
      <formula>0</formula>
    </cfRule>
  </conditionalFormatting>
  <conditionalFormatting sqref="F87:H87">
    <cfRule type="cellIs" dxfId="342" priority="426" operator="lessThan">
      <formula>0</formula>
    </cfRule>
  </conditionalFormatting>
  <conditionalFormatting sqref="F46:H46">
    <cfRule type="cellIs" dxfId="341" priority="437" operator="lessThan">
      <formula>0</formula>
    </cfRule>
  </conditionalFormatting>
  <conditionalFormatting sqref="F431">
    <cfRule type="cellIs" dxfId="340" priority="442" operator="lessThan">
      <formula>0</formula>
    </cfRule>
  </conditionalFormatting>
  <conditionalFormatting sqref="H431">
    <cfRule type="cellIs" dxfId="339" priority="443" operator="lessThan">
      <formula>0</formula>
    </cfRule>
  </conditionalFormatting>
  <conditionalFormatting sqref="G431">
    <cfRule type="cellIs" dxfId="338" priority="441" operator="lessThan">
      <formula>0</formula>
    </cfRule>
  </conditionalFormatting>
  <conditionalFormatting sqref="F50:H50">
    <cfRule type="cellIs" dxfId="337" priority="436" operator="lessThan">
      <formula>0</formula>
    </cfRule>
  </conditionalFormatting>
  <conditionalFormatting sqref="F81:H81">
    <cfRule type="cellIs" dxfId="336" priority="428" operator="lessThan">
      <formula>0</formula>
    </cfRule>
  </conditionalFormatting>
  <conditionalFormatting sqref="F101:H101">
    <cfRule type="cellIs" dxfId="335" priority="424" operator="lessThan">
      <formula>0</formula>
    </cfRule>
  </conditionalFormatting>
  <conditionalFormatting sqref="F123:H123">
    <cfRule type="cellIs" dxfId="334" priority="419" operator="lessThan">
      <formula>0</formula>
    </cfRule>
  </conditionalFormatting>
  <conditionalFormatting sqref="F108:H108">
    <cfRule type="cellIs" dxfId="333" priority="422" operator="lessThan">
      <formula>0</formula>
    </cfRule>
  </conditionalFormatting>
  <conditionalFormatting sqref="F110:H110">
    <cfRule type="cellIs" dxfId="332" priority="421" operator="lessThan">
      <formula>0</formula>
    </cfRule>
  </conditionalFormatting>
  <conditionalFormatting sqref="F105:H105">
    <cfRule type="cellIs" dxfId="331" priority="423" operator="lessThan">
      <formula>0</formula>
    </cfRule>
  </conditionalFormatting>
  <conditionalFormatting sqref="F115:H115">
    <cfRule type="cellIs" dxfId="330" priority="420" operator="lessThan">
      <formula>0</formula>
    </cfRule>
  </conditionalFormatting>
  <conditionalFormatting sqref="F145:H145">
    <cfRule type="cellIs" dxfId="329" priority="416" operator="lessThan">
      <formula>0</formula>
    </cfRule>
  </conditionalFormatting>
  <conditionalFormatting sqref="F102:H104">
    <cfRule type="cellIs" dxfId="328" priority="425" operator="lessThan">
      <formula>0</formula>
    </cfRule>
  </conditionalFormatting>
  <conditionalFormatting sqref="F129:H129">
    <cfRule type="cellIs" dxfId="327" priority="418" operator="lessThan">
      <formula>0</formula>
    </cfRule>
  </conditionalFormatting>
  <conditionalFormatting sqref="F84:H84">
    <cfRule type="cellIs" dxfId="326" priority="427" operator="lessThan">
      <formula>0</formula>
    </cfRule>
  </conditionalFormatting>
  <conditionalFormatting sqref="F142:H142">
    <cfRule type="cellIs" dxfId="325" priority="417" operator="lessThan">
      <formula>0</formula>
    </cfRule>
  </conditionalFormatting>
  <conditionalFormatting sqref="F163:H163">
    <cfRule type="cellIs" dxfId="324" priority="413" operator="lessThan">
      <formula>0</formula>
    </cfRule>
  </conditionalFormatting>
  <conditionalFormatting sqref="F158:H158">
    <cfRule type="cellIs" dxfId="323" priority="415" operator="lessThan">
      <formula>0</formula>
    </cfRule>
  </conditionalFormatting>
  <conditionalFormatting sqref="F161:H161">
    <cfRule type="cellIs" dxfId="322" priority="414" operator="lessThan">
      <formula>0</formula>
    </cfRule>
  </conditionalFormatting>
  <conditionalFormatting sqref="F106:H106">
    <cfRule type="cellIs" dxfId="321" priority="408" operator="lessThan">
      <formula>0</formula>
    </cfRule>
  </conditionalFormatting>
  <conditionalFormatting sqref="F107:H107">
    <cfRule type="cellIs" dxfId="320" priority="407" operator="lessThan">
      <formula>0</formula>
    </cfRule>
  </conditionalFormatting>
  <conditionalFormatting sqref="F178:H178">
    <cfRule type="cellIs" dxfId="319" priority="409" operator="lessThan">
      <formula>0</formula>
    </cfRule>
  </conditionalFormatting>
  <conditionalFormatting sqref="F109:H109">
    <cfRule type="cellIs" dxfId="318" priority="406" operator="lessThan">
      <formula>0</formula>
    </cfRule>
  </conditionalFormatting>
  <conditionalFormatting sqref="F124:H124">
    <cfRule type="cellIs" dxfId="317" priority="403" operator="lessThan">
      <formula>0</formula>
    </cfRule>
  </conditionalFormatting>
  <conditionalFormatting sqref="F70:H70 F71:F74">
    <cfRule type="cellIs" dxfId="316" priority="393" operator="lessThan">
      <formula>0</formula>
    </cfRule>
  </conditionalFormatting>
  <conditionalFormatting sqref="F130:H130">
    <cfRule type="cellIs" dxfId="315" priority="401" operator="lessThan">
      <formula>0</formula>
    </cfRule>
  </conditionalFormatting>
  <conditionalFormatting sqref="F168:H168">
    <cfRule type="cellIs" dxfId="314" priority="412" operator="lessThan">
      <formula>0</formula>
    </cfRule>
  </conditionalFormatting>
  <conditionalFormatting sqref="F111:H111">
    <cfRule type="cellIs" dxfId="313" priority="405" operator="lessThan">
      <formula>0</formula>
    </cfRule>
  </conditionalFormatting>
  <conditionalFormatting sqref="F131:H133">
    <cfRule type="cellIs" dxfId="312" priority="400" operator="lessThan">
      <formula>0</formula>
    </cfRule>
  </conditionalFormatting>
  <conditionalFormatting sqref="F170:H170">
    <cfRule type="cellIs" dxfId="311" priority="411" operator="lessThan">
      <formula>0</formula>
    </cfRule>
  </conditionalFormatting>
  <conditionalFormatting sqref="F125:H128">
    <cfRule type="cellIs" dxfId="310" priority="402" operator="lessThan">
      <formula>0</formula>
    </cfRule>
  </conditionalFormatting>
  <conditionalFormatting sqref="F172:H172">
    <cfRule type="cellIs" dxfId="309" priority="410" operator="lessThan">
      <formula>0</formula>
    </cfRule>
  </conditionalFormatting>
  <conditionalFormatting sqref="G71:H74">
    <cfRule type="cellIs" dxfId="308" priority="392" operator="lessThan">
      <formula>0</formula>
    </cfRule>
  </conditionalFormatting>
  <conditionalFormatting sqref="F64:H64">
    <cfRule type="cellIs" dxfId="307" priority="389" operator="lessThan">
      <formula>0</formula>
    </cfRule>
  </conditionalFormatting>
  <conditionalFormatting sqref="F88:H88 F89:F91">
    <cfRule type="cellIs" dxfId="306" priority="399" operator="lessThan">
      <formula>0</formula>
    </cfRule>
  </conditionalFormatting>
  <conditionalFormatting sqref="F85:H85">
    <cfRule type="cellIs" dxfId="305" priority="397" operator="lessThan">
      <formula>0</formula>
    </cfRule>
  </conditionalFormatting>
  <conditionalFormatting sqref="F116:H116">
    <cfRule type="cellIs" dxfId="304" priority="404" operator="lessThan">
      <formula>0</formula>
    </cfRule>
  </conditionalFormatting>
  <conditionalFormatting sqref="F83:H83">
    <cfRule type="cellIs" dxfId="303" priority="394" operator="lessThan">
      <formula>0</formula>
    </cfRule>
  </conditionalFormatting>
  <conditionalFormatting sqref="F66:H66">
    <cfRule type="cellIs" dxfId="302" priority="390" operator="lessThan">
      <formula>0</formula>
    </cfRule>
  </conditionalFormatting>
  <conditionalFormatting sqref="F68:H68">
    <cfRule type="cellIs" dxfId="301" priority="391" operator="lessThan">
      <formula>0</formula>
    </cfRule>
  </conditionalFormatting>
  <conditionalFormatting sqref="G89:H91">
    <cfRule type="cellIs" dxfId="300" priority="398" operator="lessThan">
      <formula>0</formula>
    </cfRule>
  </conditionalFormatting>
  <conditionalFormatting sqref="F61:H61 F62">
    <cfRule type="cellIs" dxfId="299" priority="388" operator="lessThan">
      <formula>0</formula>
    </cfRule>
  </conditionalFormatting>
  <conditionalFormatting sqref="F57:H57">
    <cfRule type="cellIs" dxfId="298" priority="386" operator="lessThan">
      <formula>0</formula>
    </cfRule>
  </conditionalFormatting>
  <conditionalFormatting sqref="G62:H62">
    <cfRule type="cellIs" dxfId="297" priority="387" operator="lessThan">
      <formula>0</formula>
    </cfRule>
  </conditionalFormatting>
  <conditionalFormatting sqref="F58:H58">
    <cfRule type="cellIs" dxfId="296" priority="385" operator="lessThan">
      <formula>0</formula>
    </cfRule>
  </conditionalFormatting>
  <conditionalFormatting sqref="H52">
    <cfRule type="cellIs" dxfId="295" priority="381" operator="lessThan">
      <formula>0</formula>
    </cfRule>
  </conditionalFormatting>
  <conditionalFormatting sqref="F86:H86">
    <cfRule type="cellIs" dxfId="294" priority="396" operator="lessThan">
      <formula>0</formula>
    </cfRule>
  </conditionalFormatting>
  <conditionalFormatting sqref="F82:H82">
    <cfRule type="cellIs" dxfId="293" priority="395" operator="lessThan">
      <formula>0</formula>
    </cfRule>
  </conditionalFormatting>
  <conditionalFormatting sqref="F51:H51 F52:G52">
    <cfRule type="cellIs" dxfId="292" priority="382" operator="lessThan">
      <formula>0</formula>
    </cfRule>
  </conditionalFormatting>
  <conditionalFormatting sqref="F55:H55">
    <cfRule type="cellIs" dxfId="291" priority="383" operator="lessThan">
      <formula>0</formula>
    </cfRule>
  </conditionalFormatting>
  <conditionalFormatting sqref="F54:H54">
    <cfRule type="cellIs" dxfId="290" priority="384" operator="lessThan">
      <formula>0</formula>
    </cfRule>
  </conditionalFormatting>
  <conditionalFormatting sqref="F35:H35">
    <cfRule type="cellIs" dxfId="289" priority="378" operator="lessThan">
      <formula>0</formula>
    </cfRule>
  </conditionalFormatting>
  <conditionalFormatting sqref="F48:H48">
    <cfRule type="cellIs" dxfId="288" priority="379" operator="lessThan">
      <formula>0</formula>
    </cfRule>
  </conditionalFormatting>
  <conditionalFormatting sqref="F47:H47">
    <cfRule type="cellIs" dxfId="287" priority="380" operator="lessThan">
      <formula>0</formula>
    </cfRule>
  </conditionalFormatting>
  <conditionalFormatting sqref="F31:H31">
    <cfRule type="cellIs" dxfId="286" priority="376" operator="lessThan">
      <formula>0</formula>
    </cfRule>
  </conditionalFormatting>
  <conditionalFormatting sqref="F32:H32">
    <cfRule type="cellIs" dxfId="285" priority="375" operator="lessThan">
      <formula>0</formula>
    </cfRule>
  </conditionalFormatting>
  <conditionalFormatting sqref="F143:H143">
    <cfRule type="cellIs" dxfId="284" priority="372" operator="lessThan">
      <formula>0</formula>
    </cfRule>
  </conditionalFormatting>
  <conditionalFormatting sqref="F137:H137 F138:G141">
    <cfRule type="cellIs" dxfId="283" priority="374" operator="lessThan">
      <formula>0</formula>
    </cfRule>
  </conditionalFormatting>
  <conditionalFormatting sqref="H180:H183">
    <cfRule type="cellIs" dxfId="282" priority="355" operator="lessThan">
      <formula>0</formula>
    </cfRule>
  </conditionalFormatting>
  <conditionalFormatting sqref="F196:H196">
    <cfRule type="cellIs" dxfId="281" priority="347" operator="lessThan">
      <formula>0</formula>
    </cfRule>
  </conditionalFormatting>
  <conditionalFormatting sqref="H174:H177">
    <cfRule type="cellIs" dxfId="280" priority="357" operator="lessThan">
      <formula>0</formula>
    </cfRule>
  </conditionalFormatting>
  <conditionalFormatting sqref="G195">
    <cfRule type="cellIs" dxfId="279" priority="349" operator="lessThan">
      <formula>0</formula>
    </cfRule>
  </conditionalFormatting>
  <conditionalFormatting sqref="F146:H146">
    <cfRule type="cellIs" dxfId="278" priority="370" operator="lessThan">
      <formula>0</formula>
    </cfRule>
  </conditionalFormatting>
  <conditionalFormatting sqref="F150:H150">
    <cfRule type="cellIs" dxfId="277" priority="367" operator="lessThan">
      <formula>0</formula>
    </cfRule>
  </conditionalFormatting>
  <conditionalFormatting sqref="F149:H149">
    <cfRule type="cellIs" dxfId="276" priority="368" operator="lessThan">
      <formula>0</formula>
    </cfRule>
  </conditionalFormatting>
  <conditionalFormatting sqref="F144:H144">
    <cfRule type="cellIs" dxfId="275" priority="371" operator="lessThan">
      <formula>0</formula>
    </cfRule>
  </conditionalFormatting>
  <conditionalFormatting sqref="F162:H162">
    <cfRule type="cellIs" dxfId="274" priority="364" operator="lessThan">
      <formula>0</formula>
    </cfRule>
  </conditionalFormatting>
  <conditionalFormatting sqref="H138:H141">
    <cfRule type="cellIs" dxfId="273" priority="373" operator="lessThan">
      <formula>0</formula>
    </cfRule>
  </conditionalFormatting>
  <conditionalFormatting sqref="F160:H160">
    <cfRule type="cellIs" dxfId="272" priority="365" operator="lessThan">
      <formula>0</formula>
    </cfRule>
  </conditionalFormatting>
  <conditionalFormatting sqref="F147:H147">
    <cfRule type="cellIs" dxfId="271" priority="369" operator="lessThan">
      <formula>0</formula>
    </cfRule>
  </conditionalFormatting>
  <conditionalFormatting sqref="F159:H159">
    <cfRule type="cellIs" dxfId="270" priority="366" operator="lessThan">
      <formula>0</formula>
    </cfRule>
  </conditionalFormatting>
  <conditionalFormatting sqref="F164:H164">
    <cfRule type="cellIs" dxfId="269" priority="363" operator="lessThan">
      <formula>0</formula>
    </cfRule>
  </conditionalFormatting>
  <conditionalFormatting sqref="F166:H166">
    <cfRule type="cellIs" dxfId="268" priority="362" operator="lessThan">
      <formula>0</formula>
    </cfRule>
  </conditionalFormatting>
  <conditionalFormatting sqref="F167:H167">
    <cfRule type="cellIs" dxfId="267" priority="361" operator="lessThan">
      <formula>0</formula>
    </cfRule>
  </conditionalFormatting>
  <conditionalFormatting sqref="F169:H169">
    <cfRule type="cellIs" dxfId="266" priority="360" operator="lessThan">
      <formula>0</formula>
    </cfRule>
  </conditionalFormatting>
  <conditionalFormatting sqref="F348:G348 F350:G351">
    <cfRule type="cellIs" dxfId="265" priority="300" operator="lessThan">
      <formula>0</formula>
    </cfRule>
  </conditionalFormatting>
  <conditionalFormatting sqref="F208">
    <cfRule type="cellIs" dxfId="264" priority="338" operator="lessThan">
      <formula>0</formula>
    </cfRule>
  </conditionalFormatting>
  <conditionalFormatting sqref="H208">
    <cfRule type="cellIs" dxfId="263" priority="339" operator="lessThan">
      <formula>0</formula>
    </cfRule>
  </conditionalFormatting>
  <conditionalFormatting sqref="F171:H171">
    <cfRule type="cellIs" dxfId="262" priority="359" operator="lessThan">
      <formula>0</formula>
    </cfRule>
  </conditionalFormatting>
  <conditionalFormatting sqref="F173:H173 F174:G177">
    <cfRule type="cellIs" dxfId="261" priority="358" operator="lessThan">
      <formula>0</formula>
    </cfRule>
  </conditionalFormatting>
  <conditionalFormatting sqref="F179:H179 F180:G183">
    <cfRule type="cellIs" dxfId="260" priority="356" operator="lessThan">
      <formula>0</formula>
    </cfRule>
  </conditionalFormatting>
  <conditionalFormatting sqref="H200:H202">
    <cfRule type="cellIs" dxfId="259" priority="342" operator="lessThan">
      <formula>0</formula>
    </cfRule>
  </conditionalFormatting>
  <conditionalFormatting sqref="F193:H194">
    <cfRule type="cellIs" dxfId="258" priority="348" operator="lessThan">
      <formula>0</formula>
    </cfRule>
  </conditionalFormatting>
  <conditionalFormatting sqref="H192">
    <cfRule type="cellIs" dxfId="257" priority="354" operator="lessThan">
      <formula>0</formula>
    </cfRule>
  </conditionalFormatting>
  <conditionalFormatting sqref="G192">
    <cfRule type="cellIs" dxfId="256" priority="352" operator="lessThan">
      <formula>0</formula>
    </cfRule>
  </conditionalFormatting>
  <conditionalFormatting sqref="F192">
    <cfRule type="cellIs" dxfId="255" priority="353" operator="lessThan">
      <formula>0</formula>
    </cfRule>
  </conditionalFormatting>
  <conditionalFormatting sqref="H195">
    <cfRule type="cellIs" dxfId="254" priority="351" operator="lessThan">
      <formula>0</formula>
    </cfRule>
  </conditionalFormatting>
  <conditionalFormatting sqref="F195">
    <cfRule type="cellIs" dxfId="253" priority="350" operator="lessThan">
      <formula>0</formula>
    </cfRule>
  </conditionalFormatting>
  <conditionalFormatting sqref="F199:H199 F200:G202">
    <cfRule type="cellIs" dxfId="252" priority="343" operator="lessThan">
      <formula>0</formula>
    </cfRule>
  </conditionalFormatting>
  <conditionalFormatting sqref="H198">
    <cfRule type="cellIs" dxfId="251" priority="346" operator="lessThan">
      <formula>0</formula>
    </cfRule>
  </conditionalFormatting>
  <conditionalFormatting sqref="F198">
    <cfRule type="cellIs" dxfId="250" priority="345" operator="lessThan">
      <formula>0</formula>
    </cfRule>
  </conditionalFormatting>
  <conditionalFormatting sqref="G198">
    <cfRule type="cellIs" dxfId="249" priority="344" operator="lessThan">
      <formula>0</formula>
    </cfRule>
  </conditionalFormatting>
  <conditionalFormatting sqref="F204:H204">
    <cfRule type="cellIs" dxfId="248" priority="341" operator="lessThan">
      <formula>0</formula>
    </cfRule>
  </conditionalFormatting>
  <conditionalFormatting sqref="F206:H206">
    <cfRule type="cellIs" dxfId="247" priority="340" operator="lessThan">
      <formula>0</formula>
    </cfRule>
  </conditionalFormatting>
  <conditionalFormatting sqref="H213 H215">
    <cfRule type="cellIs" dxfId="246" priority="336" operator="lessThan">
      <formula>0</formula>
    </cfRule>
  </conditionalFormatting>
  <conditionalFormatting sqref="G208">
    <cfRule type="cellIs" dxfId="245" priority="337" operator="lessThan">
      <formula>0</formula>
    </cfRule>
  </conditionalFormatting>
  <conditionalFormatting sqref="F213 F215">
    <cfRule type="cellIs" dxfId="244" priority="335" operator="lessThan">
      <formula>0</formula>
    </cfRule>
  </conditionalFormatting>
  <conditionalFormatting sqref="G333">
    <cfRule type="cellIs" dxfId="243" priority="319" operator="lessThan">
      <formula>0</formula>
    </cfRule>
  </conditionalFormatting>
  <conditionalFormatting sqref="G213 G215">
    <cfRule type="cellIs" dxfId="242" priority="334" operator="lessThan">
      <formula>0</formula>
    </cfRule>
  </conditionalFormatting>
  <conditionalFormatting sqref="F209:H209 F210:F212">
    <cfRule type="cellIs" dxfId="241" priority="333" operator="lessThan">
      <formula>0</formula>
    </cfRule>
  </conditionalFormatting>
  <conditionalFormatting sqref="F214:H214">
    <cfRule type="cellIs" dxfId="240" priority="331" operator="lessThan">
      <formula>0</formula>
    </cfRule>
  </conditionalFormatting>
  <conditionalFormatting sqref="H333">
    <cfRule type="cellIs" dxfId="239" priority="321" operator="lessThan">
      <formula>0</formula>
    </cfRule>
  </conditionalFormatting>
  <conditionalFormatting sqref="F333">
    <cfRule type="cellIs" dxfId="238" priority="320" operator="lessThan">
      <formula>0</formula>
    </cfRule>
  </conditionalFormatting>
  <conditionalFormatting sqref="G210:H212">
    <cfRule type="cellIs" dxfId="237" priority="332" operator="lessThan">
      <formula>0</formula>
    </cfRule>
  </conditionalFormatting>
  <conditionalFormatting sqref="H219">
    <cfRule type="cellIs" dxfId="236" priority="329" operator="lessThan">
      <formula>0</formula>
    </cfRule>
  </conditionalFormatting>
  <conditionalFormatting sqref="F216:H216">
    <cfRule type="cellIs" dxfId="235" priority="330" operator="lessThan">
      <formula>0</formula>
    </cfRule>
  </conditionalFormatting>
  <conditionalFormatting sqref="F334:H335">
    <cfRule type="cellIs" dxfId="234" priority="315" operator="lessThan">
      <formula>0</formula>
    </cfRule>
  </conditionalFormatting>
  <conditionalFormatting sqref="F220:H221">
    <cfRule type="cellIs" dxfId="233" priority="326" operator="lessThan">
      <formula>0</formula>
    </cfRule>
  </conditionalFormatting>
  <conditionalFormatting sqref="F219">
    <cfRule type="cellIs" dxfId="232" priority="328" operator="lessThan">
      <formula>0</formula>
    </cfRule>
  </conditionalFormatting>
  <conditionalFormatting sqref="G336">
    <cfRule type="cellIs" dxfId="231" priority="316" operator="lessThan">
      <formula>0</formula>
    </cfRule>
  </conditionalFormatting>
  <conditionalFormatting sqref="G219">
    <cfRule type="cellIs" dxfId="230" priority="327" operator="lessThan">
      <formula>0</formula>
    </cfRule>
  </conditionalFormatting>
  <conditionalFormatting sqref="H222">
    <cfRule type="cellIs" dxfId="229" priority="325" operator="lessThan">
      <formula>0</formula>
    </cfRule>
  </conditionalFormatting>
  <conditionalFormatting sqref="F222">
    <cfRule type="cellIs" dxfId="228" priority="324" operator="lessThan">
      <formula>0</formula>
    </cfRule>
  </conditionalFormatting>
  <conditionalFormatting sqref="H336">
    <cfRule type="cellIs" dxfId="227" priority="318" operator="lessThan">
      <formula>0</formula>
    </cfRule>
  </conditionalFormatting>
  <conditionalFormatting sqref="G222">
    <cfRule type="cellIs" dxfId="226" priority="323" operator="lessThan">
      <formula>0</formula>
    </cfRule>
  </conditionalFormatting>
  <conditionalFormatting sqref="F223:H223">
    <cfRule type="cellIs" dxfId="225" priority="322" operator="lessThan">
      <formula>0</formula>
    </cfRule>
  </conditionalFormatting>
  <conditionalFormatting sqref="G342">
    <cfRule type="cellIs" dxfId="224" priority="308" operator="lessThan">
      <formula>0</formula>
    </cfRule>
  </conditionalFormatting>
  <conditionalFormatting sqref="F346:H346">
    <cfRule type="cellIs" dxfId="223" priority="303" operator="lessThan">
      <formula>0</formula>
    </cfRule>
  </conditionalFormatting>
  <conditionalFormatting sqref="H338:H339">
    <cfRule type="cellIs" dxfId="222" priority="313" operator="lessThan">
      <formula>0</formula>
    </cfRule>
  </conditionalFormatting>
  <conditionalFormatting sqref="G338:G339">
    <cfRule type="cellIs" dxfId="221" priority="311" operator="lessThan">
      <formula>0</formula>
    </cfRule>
  </conditionalFormatting>
  <conditionalFormatting sqref="H342">
    <cfRule type="cellIs" dxfId="220" priority="310" operator="lessThan">
      <formula>0</formula>
    </cfRule>
  </conditionalFormatting>
  <conditionalFormatting sqref="H348 H350:H351">
    <cfRule type="cellIs" dxfId="219" priority="302" operator="lessThan">
      <formula>0</formula>
    </cfRule>
  </conditionalFormatting>
  <conditionalFormatting sqref="F343:H344">
    <cfRule type="cellIs" dxfId="218" priority="307" operator="lessThan">
      <formula>0</formula>
    </cfRule>
  </conditionalFormatting>
  <conditionalFormatting sqref="F347:H347">
    <cfRule type="cellIs" dxfId="217" priority="301" operator="lessThan">
      <formula>0</formula>
    </cfRule>
  </conditionalFormatting>
  <conditionalFormatting sqref="F336">
    <cfRule type="cellIs" dxfId="216" priority="317" operator="lessThan">
      <formula>0</formula>
    </cfRule>
  </conditionalFormatting>
  <conditionalFormatting sqref="F338:F339">
    <cfRule type="cellIs" dxfId="215" priority="312" operator="lessThan">
      <formula>0</formula>
    </cfRule>
  </conditionalFormatting>
  <conditionalFormatting sqref="G345">
    <cfRule type="cellIs" dxfId="214" priority="304" operator="lessThan">
      <formula>0</formula>
    </cfRule>
  </conditionalFormatting>
  <conditionalFormatting sqref="F337:H337">
    <cfRule type="cellIs" dxfId="213" priority="314" operator="lessThan">
      <formula>0</formula>
    </cfRule>
  </conditionalFormatting>
  <conditionalFormatting sqref="F342">
    <cfRule type="cellIs" dxfId="212" priority="309" operator="lessThan">
      <formula>0</formula>
    </cfRule>
  </conditionalFormatting>
  <conditionalFormatting sqref="H345">
    <cfRule type="cellIs" dxfId="211" priority="306" operator="lessThan">
      <formula>0</formula>
    </cfRule>
  </conditionalFormatting>
  <conditionalFormatting sqref="F345">
    <cfRule type="cellIs" dxfId="210" priority="305" operator="lessThan">
      <formula>0</formula>
    </cfRule>
  </conditionalFormatting>
  <conditionalFormatting sqref="F326:H326">
    <cfRule type="cellIs" dxfId="209" priority="219" operator="lessThan">
      <formula>0</formula>
    </cfRule>
  </conditionalFormatting>
  <conditionalFormatting sqref="F186:H186">
    <cfRule type="cellIs" dxfId="208" priority="222" operator="lessThan">
      <formula>0</formula>
    </cfRule>
  </conditionalFormatting>
  <conditionalFormatting sqref="F185:H185">
    <cfRule type="cellIs" dxfId="207" priority="223" operator="lessThan">
      <formula>0</formula>
    </cfRule>
  </conditionalFormatting>
  <conditionalFormatting sqref="F327:H327">
    <cfRule type="cellIs" dxfId="206" priority="218" operator="lessThan">
      <formula>0</formula>
    </cfRule>
  </conditionalFormatting>
  <conditionalFormatting sqref="F188:H188">
    <cfRule type="cellIs" dxfId="205" priority="220" operator="lessThan">
      <formula>0</formula>
    </cfRule>
  </conditionalFormatting>
  <conditionalFormatting sqref="F187:H187">
    <cfRule type="cellIs" dxfId="204" priority="221" operator="lessThan">
      <formula>0</formula>
    </cfRule>
  </conditionalFormatting>
  <conditionalFormatting sqref="F329:H329">
    <cfRule type="cellIs" dxfId="203" priority="216" operator="lessThan">
      <formula>0</formula>
    </cfRule>
  </conditionalFormatting>
  <conditionalFormatting sqref="F328:H328">
    <cfRule type="cellIs" dxfId="202" priority="217" operator="lessThan">
      <formula>0</formula>
    </cfRule>
  </conditionalFormatting>
  <conditionalFormatting sqref="F433">
    <cfRule type="cellIs" dxfId="201" priority="214" operator="lessThan">
      <formula>0</formula>
    </cfRule>
  </conditionalFormatting>
  <conditionalFormatting sqref="H433">
    <cfRule type="cellIs" dxfId="200" priority="215" operator="lessThan">
      <formula>0</formula>
    </cfRule>
  </conditionalFormatting>
  <conditionalFormatting sqref="G433">
    <cfRule type="cellIs" dxfId="199" priority="213" operator="lessThan">
      <formula>0</formula>
    </cfRule>
  </conditionalFormatting>
  <conditionalFormatting sqref="F434">
    <cfRule type="cellIs" dxfId="198" priority="211" operator="lessThan">
      <formula>0</formula>
    </cfRule>
  </conditionalFormatting>
  <conditionalFormatting sqref="H434">
    <cfRule type="cellIs" dxfId="197" priority="212" operator="lessThan">
      <formula>0</formula>
    </cfRule>
  </conditionalFormatting>
  <conditionalFormatting sqref="G434">
    <cfRule type="cellIs" dxfId="196" priority="210" operator="lessThan">
      <formula>0</formula>
    </cfRule>
  </conditionalFormatting>
  <conditionalFormatting sqref="F435:F439">
    <cfRule type="cellIs" dxfId="195" priority="208" operator="lessThan">
      <formula>0</formula>
    </cfRule>
  </conditionalFormatting>
  <conditionalFormatting sqref="H435:H439">
    <cfRule type="cellIs" dxfId="194" priority="209" operator="lessThan">
      <formula>0</formula>
    </cfRule>
  </conditionalFormatting>
  <conditionalFormatting sqref="G435:G439">
    <cfRule type="cellIs" dxfId="193" priority="207" operator="lessThan">
      <formula>0</formula>
    </cfRule>
  </conditionalFormatting>
  <conditionalFormatting sqref="F112:H112">
    <cfRule type="cellIs" dxfId="192" priority="206" operator="lessThan">
      <formula>0</formula>
    </cfRule>
  </conditionalFormatting>
  <conditionalFormatting sqref="F114:H114">
    <cfRule type="cellIs" dxfId="191" priority="205" operator="lessThan">
      <formula>0</formula>
    </cfRule>
  </conditionalFormatting>
  <conditionalFormatting sqref="F113:H113">
    <cfRule type="cellIs" dxfId="190" priority="204" operator="lessThan">
      <formula>0</formula>
    </cfRule>
  </conditionalFormatting>
  <conditionalFormatting sqref="F75:H75">
    <cfRule type="cellIs" dxfId="189" priority="203" operator="lessThan">
      <formula>0</formula>
    </cfRule>
  </conditionalFormatting>
  <conditionalFormatting sqref="F76:H76 F77:F79">
    <cfRule type="cellIs" dxfId="188" priority="202" operator="lessThan">
      <formula>0</formula>
    </cfRule>
  </conditionalFormatting>
  <conditionalFormatting sqref="G77:H79">
    <cfRule type="cellIs" dxfId="187" priority="201" operator="lessThan">
      <formula>0</formula>
    </cfRule>
  </conditionalFormatting>
  <conditionalFormatting sqref="F93:H93">
    <cfRule type="cellIs" dxfId="186" priority="200" operator="lessThan">
      <formula>0</formula>
    </cfRule>
  </conditionalFormatting>
  <conditionalFormatting sqref="F94:H94">
    <cfRule type="cellIs" dxfId="185" priority="199" operator="lessThan">
      <formula>0</formula>
    </cfRule>
  </conditionalFormatting>
  <conditionalFormatting sqref="F95:H96">
    <cfRule type="cellIs" dxfId="184" priority="198" operator="lessThan">
      <formula>0</formula>
    </cfRule>
  </conditionalFormatting>
  <conditionalFormatting sqref="F117:H117">
    <cfRule type="cellIs" dxfId="183" priority="197" operator="lessThan">
      <formula>0</formula>
    </cfRule>
  </conditionalFormatting>
  <conditionalFormatting sqref="F118:H118">
    <cfRule type="cellIs" dxfId="182" priority="196" operator="lessThan">
      <formula>0</formula>
    </cfRule>
  </conditionalFormatting>
  <conditionalFormatting sqref="F97:H97">
    <cfRule type="cellIs" dxfId="181" priority="192" operator="lessThan">
      <formula>0</formula>
    </cfRule>
  </conditionalFormatting>
  <conditionalFormatting sqref="F98:H100">
    <cfRule type="cellIs" dxfId="180" priority="193" operator="lessThan">
      <formula>0</formula>
    </cfRule>
  </conditionalFormatting>
  <conditionalFormatting sqref="H153:H156">
    <cfRule type="cellIs" dxfId="179" priority="189" operator="lessThan">
      <formula>0</formula>
    </cfRule>
  </conditionalFormatting>
  <conditionalFormatting sqref="F151:H151">
    <cfRule type="cellIs" dxfId="178" priority="191" operator="lessThan">
      <formula>0</formula>
    </cfRule>
  </conditionalFormatting>
  <conditionalFormatting sqref="F152:H152 F153:G156">
    <cfRule type="cellIs" dxfId="177" priority="190" operator="lessThan">
      <formula>0</formula>
    </cfRule>
  </conditionalFormatting>
  <conditionalFormatting sqref="F49:H49">
    <cfRule type="cellIs" dxfId="176" priority="188" operator="lessThan">
      <formula>0</formula>
    </cfRule>
  </conditionalFormatting>
  <conditionalFormatting sqref="F33:H33">
    <cfRule type="cellIs" dxfId="175" priority="187" operator="lessThan">
      <formula>0</formula>
    </cfRule>
  </conditionalFormatting>
  <conditionalFormatting sqref="G429">
    <cfRule type="cellIs" dxfId="174" priority="122" operator="lessThan">
      <formula>0</formula>
    </cfRule>
  </conditionalFormatting>
  <conditionalFormatting sqref="H349">
    <cfRule type="cellIs" dxfId="173" priority="185" operator="lessThan">
      <formula>0</formula>
    </cfRule>
  </conditionalFormatting>
  <conditionalFormatting sqref="F428:H428">
    <cfRule type="cellIs" dxfId="172" priority="121" operator="lessThan">
      <formula>0</formula>
    </cfRule>
  </conditionalFormatting>
  <conditionalFormatting sqref="F349:G349">
    <cfRule type="cellIs" dxfId="171" priority="184" operator="lessThan">
      <formula>0</formula>
    </cfRule>
  </conditionalFormatting>
  <conditionalFormatting sqref="H418">
    <cfRule type="cellIs" dxfId="170" priority="120" operator="lessThan">
      <formula>0</formula>
    </cfRule>
  </conditionalFormatting>
  <conditionalFormatting sqref="F418">
    <cfRule type="cellIs" dxfId="169" priority="119" operator="lessThan">
      <formula>0</formula>
    </cfRule>
  </conditionalFormatting>
  <conditionalFormatting sqref="G418">
    <cfRule type="cellIs" dxfId="168" priority="118" operator="lessThan">
      <formula>0</formula>
    </cfRule>
  </conditionalFormatting>
  <conditionalFormatting sqref="F387:G402 H389:H402">
    <cfRule type="cellIs" dxfId="167" priority="183" operator="lessThan">
      <formula>0</formula>
    </cfRule>
  </conditionalFormatting>
  <conditionalFormatting sqref="F364:H366 F362:G363 F369:H371 F367:G368 F374:H376 F372:G373 F379:H381 F377:G378">
    <cfRule type="cellIs" dxfId="166" priority="182" operator="lessThan">
      <formula>0</formula>
    </cfRule>
  </conditionalFormatting>
  <conditionalFormatting sqref="H358:H359">
    <cfRule type="cellIs" dxfId="165" priority="181" operator="lessThan">
      <formula>0</formula>
    </cfRule>
  </conditionalFormatting>
  <conditionalFormatting sqref="G358:G359">
    <cfRule type="cellIs" dxfId="164" priority="179" operator="lessThan">
      <formula>0</formula>
    </cfRule>
  </conditionalFormatting>
  <conditionalFormatting sqref="F358:F359">
    <cfRule type="cellIs" dxfId="163" priority="180" operator="lessThan">
      <formula>0</formula>
    </cfRule>
  </conditionalFormatting>
  <conditionalFormatting sqref="H354:H355 H357">
    <cfRule type="cellIs" dxfId="162" priority="178" operator="lessThan">
      <formula>0</formula>
    </cfRule>
  </conditionalFormatting>
  <conditionalFormatting sqref="G354:G355 G357">
    <cfRule type="cellIs" dxfId="161" priority="176" operator="lessThan">
      <formula>0</formula>
    </cfRule>
  </conditionalFormatting>
  <conditionalFormatting sqref="F354:F355 F357">
    <cfRule type="cellIs" dxfId="160" priority="177" operator="lessThan">
      <formula>0</formula>
    </cfRule>
  </conditionalFormatting>
  <conditionalFormatting sqref="H356">
    <cfRule type="cellIs" dxfId="159" priority="175" operator="lessThan">
      <formula>0</formula>
    </cfRule>
  </conditionalFormatting>
  <conditionalFormatting sqref="G356">
    <cfRule type="cellIs" dxfId="158" priority="173" operator="lessThan">
      <formula>0</formula>
    </cfRule>
  </conditionalFormatting>
  <conditionalFormatting sqref="F356">
    <cfRule type="cellIs" dxfId="157" priority="174" operator="lessThan">
      <formula>0</formula>
    </cfRule>
  </conditionalFormatting>
  <conditionalFormatting sqref="H19">
    <cfRule type="cellIs" dxfId="156" priority="172" operator="lessThan">
      <formula>0</formula>
    </cfRule>
  </conditionalFormatting>
  <conditionalFormatting sqref="G19">
    <cfRule type="cellIs" dxfId="155" priority="170" operator="lessThan">
      <formula>0</formula>
    </cfRule>
  </conditionalFormatting>
  <conditionalFormatting sqref="F19">
    <cfRule type="cellIs" dxfId="154" priority="171" operator="lessThan">
      <formula>0</formula>
    </cfRule>
  </conditionalFormatting>
  <conditionalFormatting sqref="H23">
    <cfRule type="cellIs" dxfId="153" priority="166" operator="lessThan">
      <formula>0</formula>
    </cfRule>
  </conditionalFormatting>
  <conditionalFormatting sqref="G23">
    <cfRule type="cellIs" dxfId="152" priority="164" operator="lessThan">
      <formula>0</formula>
    </cfRule>
  </conditionalFormatting>
  <conditionalFormatting sqref="F23">
    <cfRule type="cellIs" dxfId="151" priority="165" operator="lessThan">
      <formula>0</formula>
    </cfRule>
  </conditionalFormatting>
  <conditionalFormatting sqref="F382:G386">
    <cfRule type="cellIs" dxfId="150" priority="157" operator="lessThan">
      <formula>0</formula>
    </cfRule>
  </conditionalFormatting>
  <conditionalFormatting sqref="H362">
    <cfRule type="cellIs" dxfId="149" priority="155" operator="lessThan">
      <formula>0</formula>
    </cfRule>
  </conditionalFormatting>
  <conditionalFormatting sqref="H384:H386">
    <cfRule type="cellIs" dxfId="148" priority="156" operator="lessThan">
      <formula>0</formula>
    </cfRule>
  </conditionalFormatting>
  <conditionalFormatting sqref="H24">
    <cfRule type="cellIs" dxfId="147" priority="163" operator="lessThan">
      <formula>0</formula>
    </cfRule>
  </conditionalFormatting>
  <conditionalFormatting sqref="G24">
    <cfRule type="cellIs" dxfId="146" priority="161" operator="lessThan">
      <formula>0</formula>
    </cfRule>
  </conditionalFormatting>
  <conditionalFormatting sqref="F24">
    <cfRule type="cellIs" dxfId="145" priority="162" operator="lessThan">
      <formula>0</formula>
    </cfRule>
  </conditionalFormatting>
  <conditionalFormatting sqref="H361">
    <cfRule type="cellIs" dxfId="144" priority="160" operator="lessThan">
      <formula>0</formula>
    </cfRule>
  </conditionalFormatting>
  <conditionalFormatting sqref="G361">
    <cfRule type="cellIs" dxfId="143" priority="158" operator="lessThan">
      <formula>0</formula>
    </cfRule>
  </conditionalFormatting>
  <conditionalFormatting sqref="F361">
    <cfRule type="cellIs" dxfId="142" priority="159" operator="lessThan">
      <formula>0</formula>
    </cfRule>
  </conditionalFormatting>
  <conditionalFormatting sqref="H368">
    <cfRule type="cellIs" dxfId="141" priority="152" operator="lessThan">
      <formula>0</formula>
    </cfRule>
  </conditionalFormatting>
  <conditionalFormatting sqref="H377">
    <cfRule type="cellIs" dxfId="140" priority="149" operator="lessThan">
      <formula>0</formula>
    </cfRule>
  </conditionalFormatting>
  <conditionalFormatting sqref="H378">
    <cfRule type="cellIs" dxfId="139" priority="148" operator="lessThan">
      <formula>0</formula>
    </cfRule>
  </conditionalFormatting>
  <conditionalFormatting sqref="H382">
    <cfRule type="cellIs" dxfId="138" priority="147" operator="lessThan">
      <formula>0</formula>
    </cfRule>
  </conditionalFormatting>
  <conditionalFormatting sqref="H383">
    <cfRule type="cellIs" dxfId="137" priority="146" operator="lessThan">
      <formula>0</formula>
    </cfRule>
  </conditionalFormatting>
  <conditionalFormatting sqref="H363">
    <cfRule type="cellIs" dxfId="136" priority="154" operator="lessThan">
      <formula>0</formula>
    </cfRule>
  </conditionalFormatting>
  <conditionalFormatting sqref="H367">
    <cfRule type="cellIs" dxfId="135" priority="153" operator="lessThan">
      <formula>0</formula>
    </cfRule>
  </conditionalFormatting>
  <conditionalFormatting sqref="H372">
    <cfRule type="cellIs" dxfId="134" priority="151" operator="lessThan">
      <formula>0</formula>
    </cfRule>
  </conditionalFormatting>
  <conditionalFormatting sqref="H373">
    <cfRule type="cellIs" dxfId="133" priority="150" operator="lessThan">
      <formula>0</formula>
    </cfRule>
  </conditionalFormatting>
  <conditionalFormatting sqref="H387">
    <cfRule type="cellIs" dxfId="132" priority="145" operator="lessThan">
      <formula>0</formula>
    </cfRule>
  </conditionalFormatting>
  <conditionalFormatting sqref="H388">
    <cfRule type="cellIs" dxfId="131" priority="144" operator="lessThan">
      <formula>0</formula>
    </cfRule>
  </conditionalFormatting>
  <conditionalFormatting sqref="H404">
    <cfRule type="cellIs" dxfId="130" priority="143" operator="lessThan">
      <formula>0</formula>
    </cfRule>
  </conditionalFormatting>
  <conditionalFormatting sqref="G404">
    <cfRule type="cellIs" dxfId="129" priority="141" operator="lessThan">
      <formula>0</formula>
    </cfRule>
  </conditionalFormatting>
  <conditionalFormatting sqref="F404">
    <cfRule type="cellIs" dxfId="128" priority="142" operator="lessThan">
      <formula>0</formula>
    </cfRule>
  </conditionalFormatting>
  <conditionalFormatting sqref="H406">
    <cfRule type="cellIs" dxfId="127" priority="140" operator="lessThan">
      <formula>0</formula>
    </cfRule>
  </conditionalFormatting>
  <conditionalFormatting sqref="H407">
    <cfRule type="cellIs" dxfId="126" priority="139" operator="lessThan">
      <formula>0</formula>
    </cfRule>
  </conditionalFormatting>
  <conditionalFormatting sqref="F421:H421">
    <cfRule type="cellIs" dxfId="125" priority="138" operator="lessThan">
      <formula>0</formula>
    </cfRule>
  </conditionalFormatting>
  <conditionalFormatting sqref="F420:H420">
    <cfRule type="cellIs" dxfId="124" priority="137" operator="lessThan">
      <formula>0</formula>
    </cfRule>
  </conditionalFormatting>
  <conditionalFormatting sqref="F423">
    <cfRule type="cellIs" dxfId="123" priority="135" operator="lessThan">
      <formula>0</formula>
    </cfRule>
  </conditionalFormatting>
  <conditionalFormatting sqref="H425">
    <cfRule type="cellIs" dxfId="122" priority="132" operator="lessThan">
      <formula>0</formula>
    </cfRule>
  </conditionalFormatting>
  <conditionalFormatting sqref="G423">
    <cfRule type="cellIs" dxfId="121" priority="134" operator="lessThan">
      <formula>0</formula>
    </cfRule>
  </conditionalFormatting>
  <conditionalFormatting sqref="F422:H422">
    <cfRule type="cellIs" dxfId="120" priority="133" operator="lessThan">
      <formula>0</formula>
    </cfRule>
  </conditionalFormatting>
  <conditionalFormatting sqref="G425">
    <cfRule type="cellIs" dxfId="119" priority="130" operator="lessThan">
      <formula>0</formula>
    </cfRule>
  </conditionalFormatting>
  <conditionalFormatting sqref="H423">
    <cfRule type="cellIs" dxfId="118" priority="136" operator="lessThan">
      <formula>0</formula>
    </cfRule>
  </conditionalFormatting>
  <conditionalFormatting sqref="H427">
    <cfRule type="cellIs" dxfId="117" priority="128" operator="lessThan">
      <formula>0</formula>
    </cfRule>
  </conditionalFormatting>
  <conditionalFormatting sqref="F425">
    <cfRule type="cellIs" dxfId="116" priority="131" operator="lessThan">
      <formula>0</formula>
    </cfRule>
  </conditionalFormatting>
  <conditionalFormatting sqref="F424:H424">
    <cfRule type="cellIs" dxfId="115" priority="129" operator="lessThan">
      <formula>0</formula>
    </cfRule>
  </conditionalFormatting>
  <conditionalFormatting sqref="G427">
    <cfRule type="cellIs" dxfId="114" priority="126" operator="lessThan">
      <formula>0</formula>
    </cfRule>
  </conditionalFormatting>
  <conditionalFormatting sqref="H429">
    <cfRule type="cellIs" dxfId="113" priority="124" operator="lessThan">
      <formula>0</formula>
    </cfRule>
  </conditionalFormatting>
  <conditionalFormatting sqref="F426:H426">
    <cfRule type="cellIs" dxfId="112" priority="125" operator="lessThan">
      <formula>0</formula>
    </cfRule>
  </conditionalFormatting>
  <conditionalFormatting sqref="F427">
    <cfRule type="cellIs" dxfId="111" priority="127" operator="lessThan">
      <formula>0</formula>
    </cfRule>
  </conditionalFormatting>
  <conditionalFormatting sqref="F429">
    <cfRule type="cellIs" dxfId="110" priority="123" operator="lessThan">
      <formula>0</formula>
    </cfRule>
  </conditionalFormatting>
  <conditionalFormatting sqref="F289:H289">
    <cfRule type="cellIs" dxfId="109" priority="117" operator="lessThan">
      <formula>0</formula>
    </cfRule>
  </conditionalFormatting>
  <conditionalFormatting sqref="F277:H277">
    <cfRule type="cellIs" dxfId="108" priority="116" operator="lessThan">
      <formula>0</formula>
    </cfRule>
  </conditionalFormatting>
  <conditionalFormatting sqref="F286:H286">
    <cfRule type="cellIs" dxfId="107" priority="114" operator="lessThan">
      <formula>0</formula>
    </cfRule>
  </conditionalFormatting>
  <conditionalFormatting sqref="F283:H283">
    <cfRule type="cellIs" dxfId="106" priority="115" operator="lessThan">
      <formula>0</formula>
    </cfRule>
  </conditionalFormatting>
  <conditionalFormatting sqref="F284:H284 F285:G285">
    <cfRule type="cellIs" dxfId="105" priority="111" operator="lessThan">
      <formula>0</formula>
    </cfRule>
  </conditionalFormatting>
  <conditionalFormatting sqref="F278:H278 F279:G282">
    <cfRule type="cellIs" dxfId="104" priority="113" operator="lessThan">
      <formula>0</formula>
    </cfRule>
  </conditionalFormatting>
  <conditionalFormatting sqref="F287:H287 F288:G288">
    <cfRule type="cellIs" dxfId="103" priority="109" operator="lessThan">
      <formula>0</formula>
    </cfRule>
  </conditionalFormatting>
  <conditionalFormatting sqref="H291">
    <cfRule type="cellIs" dxfId="102" priority="106" operator="lessThan">
      <formula>0</formula>
    </cfRule>
  </conditionalFormatting>
  <conditionalFormatting sqref="F290:H290 F291:G291">
    <cfRule type="cellIs" dxfId="101" priority="107" operator="lessThan">
      <formula>0</formula>
    </cfRule>
  </conditionalFormatting>
  <conditionalFormatting sqref="H285">
    <cfRule type="cellIs" dxfId="100" priority="110" operator="lessThan">
      <formula>0</formula>
    </cfRule>
  </conditionalFormatting>
  <conditionalFormatting sqref="H279:H282">
    <cfRule type="cellIs" dxfId="99" priority="112" operator="lessThan">
      <formula>0</formula>
    </cfRule>
  </conditionalFormatting>
  <conditionalFormatting sqref="H288">
    <cfRule type="cellIs" dxfId="98" priority="108" operator="lessThan">
      <formula>0</formula>
    </cfRule>
  </conditionalFormatting>
  <conditionalFormatting sqref="H294:H297">
    <cfRule type="cellIs" dxfId="97" priority="103" operator="lessThan">
      <formula>0</formula>
    </cfRule>
  </conditionalFormatting>
  <conditionalFormatting sqref="F292:H292">
    <cfRule type="cellIs" dxfId="96" priority="105" operator="lessThan">
      <formula>0</formula>
    </cfRule>
  </conditionalFormatting>
  <conditionalFormatting sqref="F293:H293 F294:G297">
    <cfRule type="cellIs" dxfId="95" priority="104" operator="lessThan">
      <formula>0</formula>
    </cfRule>
  </conditionalFormatting>
  <conditionalFormatting sqref="F306:H306">
    <cfRule type="cellIs" dxfId="94" priority="102" operator="lessThan">
      <formula>0</formula>
    </cfRule>
  </conditionalFormatting>
  <conditionalFormatting sqref="F304:H304">
    <cfRule type="cellIs" dxfId="93" priority="99" operator="lessThan">
      <formula>0</formula>
    </cfRule>
  </conditionalFormatting>
  <conditionalFormatting sqref="F299:H299">
    <cfRule type="cellIs" dxfId="92" priority="101" operator="lessThan">
      <formula>0</formula>
    </cfRule>
  </conditionalFormatting>
  <conditionalFormatting sqref="F302:H302">
    <cfRule type="cellIs" dxfId="91" priority="100" operator="lessThan">
      <formula>0</formula>
    </cfRule>
  </conditionalFormatting>
  <conditionalFormatting sqref="F319:H319">
    <cfRule type="cellIs" dxfId="90" priority="95" operator="lessThan">
      <formula>0</formula>
    </cfRule>
  </conditionalFormatting>
  <conditionalFormatting sqref="F309:H309">
    <cfRule type="cellIs" dxfId="89" priority="98" operator="lessThan">
      <formula>0</formula>
    </cfRule>
  </conditionalFormatting>
  <conditionalFormatting sqref="F311:H311">
    <cfRule type="cellIs" dxfId="88" priority="97" operator="lessThan">
      <formula>0</formula>
    </cfRule>
  </conditionalFormatting>
  <conditionalFormatting sqref="F313:H313">
    <cfRule type="cellIs" dxfId="87" priority="96" operator="lessThan">
      <formula>0</formula>
    </cfRule>
  </conditionalFormatting>
  <conditionalFormatting sqref="H321:H324">
    <cfRule type="cellIs" dxfId="86" priority="83" operator="lessThan">
      <formula>0</formula>
    </cfRule>
  </conditionalFormatting>
  <conditionalFormatting sqref="H315 H317:H318">
    <cfRule type="cellIs" dxfId="85" priority="85" operator="lessThan">
      <formula>0</formula>
    </cfRule>
  </conditionalFormatting>
  <conditionalFormatting sqref="H303">
    <cfRule type="cellIs" dxfId="84" priority="92" operator="lessThan">
      <formula>0</formula>
    </cfRule>
  </conditionalFormatting>
  <conditionalFormatting sqref="H301">
    <cfRule type="cellIs" dxfId="83" priority="93" operator="lessThan">
      <formula>0</formula>
    </cfRule>
  </conditionalFormatting>
  <conditionalFormatting sqref="F300:H300 F301:G301">
    <cfRule type="cellIs" dxfId="82" priority="94" operator="lessThan">
      <formula>0</formula>
    </cfRule>
  </conditionalFormatting>
  <conditionalFormatting sqref="H305">
    <cfRule type="cellIs" dxfId="81" priority="91" operator="lessThan">
      <formula>0</formula>
    </cfRule>
  </conditionalFormatting>
  <conditionalFormatting sqref="H307">
    <cfRule type="cellIs" dxfId="80" priority="90" operator="lessThan">
      <formula>0</formula>
    </cfRule>
  </conditionalFormatting>
  <conditionalFormatting sqref="H308">
    <cfRule type="cellIs" dxfId="79" priority="89" operator="lessThan">
      <formula>0</formula>
    </cfRule>
  </conditionalFormatting>
  <conditionalFormatting sqref="H310">
    <cfRule type="cellIs" dxfId="78" priority="88" operator="lessThan">
      <formula>0</formula>
    </cfRule>
  </conditionalFormatting>
  <conditionalFormatting sqref="H312">
    <cfRule type="cellIs" dxfId="77" priority="87" operator="lessThan">
      <formula>0</formula>
    </cfRule>
  </conditionalFormatting>
  <conditionalFormatting sqref="H314">
    <cfRule type="cellIs" dxfId="76" priority="86" operator="lessThan">
      <formula>0</formula>
    </cfRule>
  </conditionalFormatting>
  <conditionalFormatting sqref="H320">
    <cfRule type="cellIs" dxfId="75" priority="84" operator="lessThan">
      <formula>0</formula>
    </cfRule>
  </conditionalFormatting>
  <conditionalFormatting sqref="F303:G303">
    <cfRule type="cellIs" dxfId="74" priority="82" operator="lessThan">
      <formula>0</formula>
    </cfRule>
  </conditionalFormatting>
  <conditionalFormatting sqref="F305:G305">
    <cfRule type="cellIs" dxfId="73" priority="81" operator="lessThan">
      <formula>0</formula>
    </cfRule>
  </conditionalFormatting>
  <conditionalFormatting sqref="F307:G308">
    <cfRule type="cellIs" dxfId="72" priority="80" operator="lessThan">
      <formula>0</formula>
    </cfRule>
  </conditionalFormatting>
  <conditionalFormatting sqref="F310:G310">
    <cfRule type="cellIs" dxfId="71" priority="79" operator="lessThan">
      <formula>0</formula>
    </cfRule>
  </conditionalFormatting>
  <conditionalFormatting sqref="F312:G312">
    <cfRule type="cellIs" dxfId="70" priority="78" operator="lessThan">
      <formula>0</formula>
    </cfRule>
  </conditionalFormatting>
  <conditionalFormatting sqref="F314:G315 F317:G318">
    <cfRule type="cellIs" dxfId="69" priority="77" operator="lessThan">
      <formula>0</formula>
    </cfRule>
  </conditionalFormatting>
  <conditionalFormatting sqref="F320:G324">
    <cfRule type="cellIs" dxfId="68" priority="76" operator="lessThan">
      <formula>0</formula>
    </cfRule>
  </conditionalFormatting>
  <conditionalFormatting sqref="F248:H248">
    <cfRule type="cellIs" dxfId="67" priority="74" operator="lessThan">
      <formula>0</formula>
    </cfRule>
  </conditionalFormatting>
  <conditionalFormatting sqref="F264:H264">
    <cfRule type="cellIs" dxfId="66" priority="69" operator="lessThan">
      <formula>0</formula>
    </cfRule>
  </conditionalFormatting>
  <conditionalFormatting sqref="F255:H255">
    <cfRule type="cellIs" dxfId="65" priority="72" operator="lessThan">
      <formula>0</formula>
    </cfRule>
  </conditionalFormatting>
  <conditionalFormatting sqref="F257:H257">
    <cfRule type="cellIs" dxfId="64" priority="71" operator="lessThan">
      <formula>0</formula>
    </cfRule>
  </conditionalFormatting>
  <conditionalFormatting sqref="F252:H252">
    <cfRule type="cellIs" dxfId="63" priority="73" operator="lessThan">
      <formula>0</formula>
    </cfRule>
  </conditionalFormatting>
  <conditionalFormatting sqref="F262:H262">
    <cfRule type="cellIs" dxfId="62" priority="70" operator="lessThan">
      <formula>0</formula>
    </cfRule>
  </conditionalFormatting>
  <conditionalFormatting sqref="H249:H251">
    <cfRule type="cellIs" dxfId="61" priority="75" operator="lessThan">
      <formula>0</formula>
    </cfRule>
  </conditionalFormatting>
  <conditionalFormatting sqref="F270:H270">
    <cfRule type="cellIs" dxfId="60" priority="68" operator="lessThan">
      <formula>0</formula>
    </cfRule>
  </conditionalFormatting>
  <conditionalFormatting sqref="F253:F254 H253">
    <cfRule type="cellIs" dxfId="59" priority="67" operator="lessThan">
      <formula>0</formula>
    </cfRule>
  </conditionalFormatting>
  <conditionalFormatting sqref="H254">
    <cfRule type="cellIs" dxfId="58" priority="66" operator="lessThan">
      <formula>0</formula>
    </cfRule>
  </conditionalFormatting>
  <conditionalFormatting sqref="H256">
    <cfRule type="cellIs" dxfId="57" priority="65" operator="lessThan">
      <formula>0</formula>
    </cfRule>
  </conditionalFormatting>
  <conditionalFormatting sqref="H265">
    <cfRule type="cellIs" dxfId="56" priority="62" operator="lessThan">
      <formula>0</formula>
    </cfRule>
  </conditionalFormatting>
  <conditionalFormatting sqref="H271">
    <cfRule type="cellIs" dxfId="55" priority="60" operator="lessThan">
      <formula>0</formula>
    </cfRule>
  </conditionalFormatting>
  <conditionalFormatting sqref="H258">
    <cfRule type="cellIs" dxfId="54" priority="64" operator="lessThan">
      <formula>0</formula>
    </cfRule>
  </conditionalFormatting>
  <conditionalFormatting sqref="H272:H274">
    <cfRule type="cellIs" dxfId="53" priority="59" operator="lessThan">
      <formula>0</formula>
    </cfRule>
  </conditionalFormatting>
  <conditionalFormatting sqref="H266:H269">
    <cfRule type="cellIs" dxfId="52" priority="61" operator="lessThan">
      <formula>0</formula>
    </cfRule>
  </conditionalFormatting>
  <conditionalFormatting sqref="H263">
    <cfRule type="cellIs" dxfId="51" priority="63" operator="lessThan">
      <formula>0</formula>
    </cfRule>
  </conditionalFormatting>
  <conditionalFormatting sqref="F259:H259">
    <cfRule type="cellIs" dxfId="50" priority="58" operator="lessThan">
      <formula>0</formula>
    </cfRule>
  </conditionalFormatting>
  <conditionalFormatting sqref="H261">
    <cfRule type="cellIs" dxfId="49" priority="57" operator="lessThan">
      <formula>0</formula>
    </cfRule>
  </conditionalFormatting>
  <conditionalFormatting sqref="H260">
    <cfRule type="cellIs" dxfId="48" priority="56" operator="lessThan">
      <formula>0</formula>
    </cfRule>
  </conditionalFormatting>
  <conditionalFormatting sqref="F244:H244">
    <cfRule type="cellIs" dxfId="47" priority="54" operator="lessThan">
      <formula>0</formula>
    </cfRule>
  </conditionalFormatting>
  <conditionalFormatting sqref="F245:H247">
    <cfRule type="cellIs" dxfId="46" priority="55" operator="lessThan">
      <formula>0</formula>
    </cfRule>
  </conditionalFormatting>
  <conditionalFormatting sqref="F249:G251">
    <cfRule type="cellIs" dxfId="45" priority="53" operator="lessThan">
      <formula>0</formula>
    </cfRule>
  </conditionalFormatting>
  <conditionalFormatting sqref="F256:G256">
    <cfRule type="cellIs" dxfId="44" priority="52" operator="lessThan">
      <formula>0</formula>
    </cfRule>
  </conditionalFormatting>
  <conditionalFormatting sqref="F258:G258">
    <cfRule type="cellIs" dxfId="43" priority="51" operator="lessThan">
      <formula>0</formula>
    </cfRule>
  </conditionalFormatting>
  <conditionalFormatting sqref="F260:G261">
    <cfRule type="cellIs" dxfId="42" priority="50" operator="lessThan">
      <formula>0</formula>
    </cfRule>
  </conditionalFormatting>
  <conditionalFormatting sqref="F263:G263">
    <cfRule type="cellIs" dxfId="41" priority="49" operator="lessThan">
      <formula>0</formula>
    </cfRule>
  </conditionalFormatting>
  <conditionalFormatting sqref="F265:F269">
    <cfRule type="cellIs" dxfId="40" priority="48" operator="lessThan">
      <formula>0</formula>
    </cfRule>
  </conditionalFormatting>
  <conditionalFormatting sqref="F271:F274">
    <cfRule type="cellIs" dxfId="39" priority="47" operator="lessThan">
      <formula>0</formula>
    </cfRule>
  </conditionalFormatting>
  <conditionalFormatting sqref="G271:G274">
    <cfRule type="cellIs" dxfId="38" priority="46" operator="lessThan">
      <formula>0</formula>
    </cfRule>
  </conditionalFormatting>
  <conditionalFormatting sqref="F232:H232">
    <cfRule type="cellIs" dxfId="37" priority="44" operator="lessThan">
      <formula>0</formula>
    </cfRule>
  </conditionalFormatting>
  <conditionalFormatting sqref="F228:H228">
    <cfRule type="cellIs" dxfId="36" priority="45" operator="lessThan">
      <formula>0</formula>
    </cfRule>
  </conditionalFormatting>
  <conditionalFormatting sqref="F233:H233">
    <cfRule type="cellIs" dxfId="35" priority="43" operator="lessThan">
      <formula>0</formula>
    </cfRule>
  </conditionalFormatting>
  <conditionalFormatting sqref="F229:H229">
    <cfRule type="cellIs" dxfId="34" priority="41" operator="lessThan">
      <formula>0</formula>
    </cfRule>
  </conditionalFormatting>
  <conditionalFormatting sqref="H230">
    <cfRule type="cellIs" dxfId="33" priority="40" operator="lessThan">
      <formula>0</formula>
    </cfRule>
  </conditionalFormatting>
  <conditionalFormatting sqref="F231:H231">
    <cfRule type="cellIs" dxfId="32" priority="39" operator="lessThan">
      <formula>0</formula>
    </cfRule>
  </conditionalFormatting>
  <conditionalFormatting sqref="F230:G230">
    <cfRule type="cellIs" dxfId="31" priority="38" operator="lessThan">
      <formula>0</formula>
    </cfRule>
  </conditionalFormatting>
  <conditionalFormatting sqref="G253:G254">
    <cfRule type="cellIs" dxfId="30" priority="37" operator="lessThan">
      <formula>0</formula>
    </cfRule>
  </conditionalFormatting>
  <conditionalFormatting sqref="G265:G269">
    <cfRule type="cellIs" dxfId="29" priority="36" operator="lessThan">
      <formula>0</formula>
    </cfRule>
  </conditionalFormatting>
  <conditionalFormatting sqref="H316">
    <cfRule type="cellIs" dxfId="28" priority="35" operator="lessThan">
      <formula>0</formula>
    </cfRule>
  </conditionalFormatting>
  <conditionalFormatting sqref="F316:G316">
    <cfRule type="cellIs" dxfId="27" priority="34" operator="lessThan">
      <formula>0</formula>
    </cfRule>
  </conditionalFormatting>
  <conditionalFormatting sqref="F40:H40">
    <cfRule type="cellIs" dxfId="26" priority="33" operator="lessThan">
      <formula>0</formula>
    </cfRule>
  </conditionalFormatting>
  <conditionalFormatting sqref="F41:H41 F42:G44">
    <cfRule type="cellIs" dxfId="25" priority="32" operator="lessThan">
      <formula>0</formula>
    </cfRule>
  </conditionalFormatting>
  <conditionalFormatting sqref="H42:H44">
    <cfRule type="cellIs" dxfId="24" priority="31" operator="lessThan">
      <formula>0</formula>
    </cfRule>
  </conditionalFormatting>
  <conditionalFormatting sqref="F238:H238">
    <cfRule type="cellIs" dxfId="23" priority="30" operator="lessThan">
      <formula>0</formula>
    </cfRule>
  </conditionalFormatting>
  <conditionalFormatting sqref="F239:H239 F240:G242">
    <cfRule type="cellIs" dxfId="22" priority="29" operator="lessThan">
      <formula>0</formula>
    </cfRule>
  </conditionalFormatting>
  <conditionalFormatting sqref="H240:H242">
    <cfRule type="cellIs" dxfId="21" priority="28" operator="lessThan">
      <formula>0</formula>
    </cfRule>
  </conditionalFormatting>
  <conditionalFormatting sqref="H411">
    <cfRule type="cellIs" dxfId="20" priority="14" operator="lessThan">
      <formula>0</formula>
    </cfRule>
  </conditionalFormatting>
  <conditionalFormatting sqref="H20:H22">
    <cfRule type="cellIs" dxfId="19" priority="27" operator="lessThan">
      <formula>0</formula>
    </cfRule>
  </conditionalFormatting>
  <conditionalFormatting sqref="F20:G22">
    <cfRule type="cellIs" dxfId="18" priority="25" operator="lessThan">
      <formula>0</formula>
    </cfRule>
  </conditionalFormatting>
  <conditionalFormatting sqref="F432">
    <cfRule type="cellIs" dxfId="17" priority="21" operator="lessThan">
      <formula>0</formula>
    </cfRule>
  </conditionalFormatting>
  <conditionalFormatting sqref="G432">
    <cfRule type="cellIs" dxfId="16" priority="20" operator="lessThan">
      <formula>0</formula>
    </cfRule>
  </conditionalFormatting>
  <conditionalFormatting sqref="F412">
    <cfRule type="cellIs" dxfId="15" priority="12" operator="lessThan">
      <formula>0</formula>
    </cfRule>
  </conditionalFormatting>
  <conditionalFormatting sqref="H432">
    <cfRule type="cellIs" dxfId="14" priority="22" operator="lessThan">
      <formula>0</formula>
    </cfRule>
  </conditionalFormatting>
  <conditionalFormatting sqref="G412">
    <cfRule type="cellIs" dxfId="13" priority="11" operator="lessThan">
      <formula>0</formula>
    </cfRule>
  </conditionalFormatting>
  <conditionalFormatting sqref="F409:G411 H409">
    <cfRule type="cellIs" dxfId="12" priority="19" operator="lessThan">
      <formula>0</formula>
    </cfRule>
  </conditionalFormatting>
  <conditionalFormatting sqref="H412">
    <cfRule type="cellIs" dxfId="11" priority="13" operator="lessThan">
      <formula>0</formula>
    </cfRule>
  </conditionalFormatting>
  <conditionalFormatting sqref="H408">
    <cfRule type="cellIs" dxfId="10" priority="18" operator="lessThan">
      <formula>0</formula>
    </cfRule>
  </conditionalFormatting>
  <conditionalFormatting sqref="G408">
    <cfRule type="cellIs" dxfId="9" priority="16" operator="lessThan">
      <formula>0</formula>
    </cfRule>
  </conditionalFormatting>
  <conditionalFormatting sqref="F408">
    <cfRule type="cellIs" dxfId="8" priority="17" operator="lessThan">
      <formula>0</formula>
    </cfRule>
  </conditionalFormatting>
  <conditionalFormatting sqref="H410">
    <cfRule type="cellIs" dxfId="7" priority="15" operator="lessThan">
      <formula>0</formula>
    </cfRule>
  </conditionalFormatting>
  <conditionalFormatting sqref="H416">
    <cfRule type="cellIs" dxfId="6" priority="5" operator="lessThan">
      <formula>0</formula>
    </cfRule>
  </conditionalFormatting>
  <conditionalFormatting sqref="F414:H414 F415:G417">
    <cfRule type="cellIs" dxfId="5" priority="10" operator="lessThan">
      <formula>0</formula>
    </cfRule>
  </conditionalFormatting>
  <conditionalFormatting sqref="H417">
    <cfRule type="cellIs" dxfId="4" priority="4" operator="lessThan">
      <formula>0</formula>
    </cfRule>
  </conditionalFormatting>
  <conditionalFormatting sqref="H413">
    <cfRule type="cellIs" dxfId="3" priority="9" operator="lessThan">
      <formula>0</formula>
    </cfRule>
  </conditionalFormatting>
  <conditionalFormatting sqref="G413">
    <cfRule type="cellIs" dxfId="2" priority="7" operator="lessThan">
      <formula>0</formula>
    </cfRule>
  </conditionalFormatting>
  <conditionalFormatting sqref="F413">
    <cfRule type="cellIs" dxfId="1" priority="8" operator="lessThan">
      <formula>0</formula>
    </cfRule>
  </conditionalFormatting>
  <conditionalFormatting sqref="H415">
    <cfRule type="cellIs" dxfId="0" priority="6" operator="lessThan">
      <formula>0</formula>
    </cfRule>
  </conditionalFormatting>
  <printOptions horizontalCentered="1"/>
  <pageMargins left="0.25" right="0.25" top="0.75" bottom="0.75" header="0.3" footer="0.3"/>
  <pageSetup paperSize="9" scale="74" fitToHeight="0" orientation="portrait" r:id="rId1"/>
  <headerFooter>
    <oddFooter>&amp;R&amp;P</oddFooter>
  </headerFooter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7"/>
  <sheetViews>
    <sheetView topLeftCell="L55" zoomScaleNormal="100" workbookViewId="0">
      <selection activeCell="AA9" sqref="AA9"/>
    </sheetView>
  </sheetViews>
  <sheetFormatPr defaultRowHeight="15"/>
  <cols>
    <col min="1" max="1" width="10.85546875" style="2" customWidth="1"/>
    <col min="2" max="2" width="14.7109375" style="27" customWidth="1"/>
    <col min="3" max="5" width="8.42578125" style="27" customWidth="1"/>
    <col min="6" max="6" width="12.28515625" style="2" customWidth="1"/>
    <col min="7" max="7" width="14.7109375" style="27" customWidth="1"/>
    <col min="8" max="10" width="8.42578125" style="27" customWidth="1"/>
    <col min="11" max="11" width="11.7109375" style="2" customWidth="1"/>
    <col min="12" max="12" width="14.7109375" style="27" customWidth="1"/>
    <col min="13" max="15" width="8.42578125" style="27" customWidth="1"/>
    <col min="16" max="16" width="11.85546875" style="2" customWidth="1"/>
    <col min="17" max="17" width="14.7109375" style="27" customWidth="1"/>
    <col min="18" max="20" width="8.42578125" style="27" customWidth="1"/>
    <col min="21" max="21" width="11.85546875" style="2" customWidth="1"/>
    <col min="22" max="22" width="14.7109375" style="27" customWidth="1"/>
    <col min="23" max="25" width="8.42578125" style="27" customWidth="1"/>
    <col min="26" max="26" width="11.85546875" style="2" customWidth="1"/>
    <col min="27" max="27" width="14.7109375" style="27" customWidth="1"/>
    <col min="28" max="29" width="8.42578125" style="27" customWidth="1"/>
    <col min="30" max="30" width="9.7109375" style="27" customWidth="1"/>
    <col min="31" max="31" width="11.85546875" style="2" customWidth="1"/>
    <col min="32" max="32" width="14.7109375" style="27" customWidth="1"/>
    <col min="33" max="34" width="8.42578125" style="27" customWidth="1"/>
    <col min="35" max="35" width="10" style="27" customWidth="1"/>
    <col min="36" max="36" width="11.85546875" style="2" customWidth="1"/>
    <col min="37" max="37" width="14.7109375" style="27" customWidth="1"/>
    <col min="38" max="40" width="8.42578125" style="27" customWidth="1"/>
    <col min="41" max="41" width="11.85546875" style="2" customWidth="1"/>
    <col min="42" max="42" width="14.7109375" style="27" customWidth="1"/>
    <col min="43" max="45" width="8.42578125" style="27" customWidth="1"/>
    <col min="46" max="46" width="11.85546875" style="2" customWidth="1"/>
    <col min="47" max="47" width="14.7109375" style="27" customWidth="1"/>
    <col min="48" max="50" width="8.42578125" style="27" customWidth="1"/>
    <col min="51" max="51" width="11.85546875" style="2" customWidth="1"/>
    <col min="52" max="52" width="14.7109375" style="27" customWidth="1"/>
    <col min="53" max="55" width="8.42578125" style="27" customWidth="1"/>
    <col min="56" max="56" width="11.85546875" style="2" customWidth="1"/>
    <col min="57" max="57" width="14.7109375" style="27" customWidth="1"/>
    <col min="58" max="59" width="8.42578125" style="27" customWidth="1"/>
    <col min="60" max="60" width="9" style="27" customWidth="1"/>
    <col min="61" max="16384" width="9.140625" style="2"/>
  </cols>
  <sheetData>
    <row r="1" spans="1:62" ht="21.75" customHeight="1" thickBot="1">
      <c r="B1" s="269" t="s">
        <v>70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</row>
    <row r="2" spans="1:62" s="5" customFormat="1" ht="36.75" customHeight="1">
      <c r="A2" s="3"/>
      <c r="B2" s="244" t="s">
        <v>71</v>
      </c>
      <c r="C2" s="245"/>
      <c r="D2" s="245"/>
      <c r="E2" s="246"/>
      <c r="F2" s="3"/>
      <c r="G2" s="244" t="s">
        <v>72</v>
      </c>
      <c r="H2" s="245"/>
      <c r="I2" s="245"/>
      <c r="J2" s="246"/>
      <c r="K2" s="3"/>
      <c r="L2" s="244" t="s">
        <v>73</v>
      </c>
      <c r="M2" s="245"/>
      <c r="N2" s="245"/>
      <c r="O2" s="246"/>
      <c r="P2" s="3"/>
      <c r="Q2" s="244" t="s">
        <v>74</v>
      </c>
      <c r="R2" s="245"/>
      <c r="S2" s="245"/>
      <c r="T2" s="246"/>
      <c r="U2" s="3"/>
      <c r="V2" s="244" t="s">
        <v>314</v>
      </c>
      <c r="W2" s="245"/>
      <c r="X2" s="245"/>
      <c r="Y2" s="246"/>
      <c r="Z2" s="3"/>
      <c r="AA2" s="244" t="s">
        <v>313</v>
      </c>
      <c r="AB2" s="245"/>
      <c r="AC2" s="245"/>
      <c r="AD2" s="246"/>
      <c r="AE2" s="3"/>
      <c r="AF2" s="244" t="s">
        <v>77</v>
      </c>
      <c r="AG2" s="245"/>
      <c r="AH2" s="245"/>
      <c r="AI2" s="246"/>
      <c r="AJ2" s="3"/>
      <c r="AK2" s="244" t="s">
        <v>78</v>
      </c>
      <c r="AL2" s="245"/>
      <c r="AM2" s="245"/>
      <c r="AN2" s="246"/>
      <c r="AO2" s="3"/>
      <c r="AP2" s="244" t="s">
        <v>79</v>
      </c>
      <c r="AQ2" s="245"/>
      <c r="AR2" s="245"/>
      <c r="AS2" s="246"/>
      <c r="AT2" s="3"/>
      <c r="AU2" s="244" t="s">
        <v>80</v>
      </c>
      <c r="AV2" s="245"/>
      <c r="AW2" s="245"/>
      <c r="AX2" s="246"/>
      <c r="AY2" s="3"/>
      <c r="AZ2" s="244" t="s">
        <v>81</v>
      </c>
      <c r="BA2" s="245"/>
      <c r="BB2" s="245"/>
      <c r="BC2" s="246"/>
      <c r="BD2" s="4"/>
      <c r="BE2" s="244" t="s">
        <v>82</v>
      </c>
      <c r="BF2" s="245"/>
      <c r="BG2" s="245"/>
      <c r="BH2" s="246"/>
    </row>
    <row r="3" spans="1:62" ht="33.75" customHeight="1" thickBot="1">
      <c r="A3" s="6"/>
      <c r="B3" s="7" t="s">
        <v>83</v>
      </c>
      <c r="C3" s="8" t="s">
        <v>84</v>
      </c>
      <c r="D3" s="8" t="s">
        <v>85</v>
      </c>
      <c r="E3" s="9" t="s">
        <v>86</v>
      </c>
      <c r="F3" s="6"/>
      <c r="G3" s="7" t="s">
        <v>83</v>
      </c>
      <c r="H3" s="8" t="s">
        <v>84</v>
      </c>
      <c r="I3" s="8" t="s">
        <v>85</v>
      </c>
      <c r="J3" s="9" t="s">
        <v>86</v>
      </c>
      <c r="K3" s="6"/>
      <c r="L3" s="7" t="s">
        <v>83</v>
      </c>
      <c r="M3" s="8" t="s">
        <v>84</v>
      </c>
      <c r="N3" s="8" t="s">
        <v>85</v>
      </c>
      <c r="O3" s="9" t="s">
        <v>86</v>
      </c>
      <c r="P3" s="6"/>
      <c r="Q3" s="7" t="s">
        <v>83</v>
      </c>
      <c r="R3" s="8" t="s">
        <v>84</v>
      </c>
      <c r="S3" s="8" t="s">
        <v>85</v>
      </c>
      <c r="T3" s="9" t="s">
        <v>86</v>
      </c>
      <c r="U3" s="6"/>
      <c r="V3" s="7" t="s">
        <v>83</v>
      </c>
      <c r="W3" s="8" t="s">
        <v>84</v>
      </c>
      <c r="X3" s="8" t="s">
        <v>85</v>
      </c>
      <c r="Y3" s="9" t="s">
        <v>86</v>
      </c>
      <c r="Z3" s="6"/>
      <c r="AA3" s="7" t="s">
        <v>83</v>
      </c>
      <c r="AB3" s="8" t="s">
        <v>84</v>
      </c>
      <c r="AC3" s="8" t="s">
        <v>85</v>
      </c>
      <c r="AD3" s="9" t="s">
        <v>86</v>
      </c>
      <c r="AE3" s="6"/>
      <c r="AF3" s="7" t="s">
        <v>83</v>
      </c>
      <c r="AG3" s="8" t="s">
        <v>84</v>
      </c>
      <c r="AH3" s="8" t="s">
        <v>85</v>
      </c>
      <c r="AI3" s="9" t="s">
        <v>86</v>
      </c>
      <c r="AJ3" s="6"/>
      <c r="AK3" s="7" t="s">
        <v>83</v>
      </c>
      <c r="AL3" s="8" t="s">
        <v>84</v>
      </c>
      <c r="AM3" s="8" t="s">
        <v>85</v>
      </c>
      <c r="AN3" s="9" t="s">
        <v>86</v>
      </c>
      <c r="AO3" s="6"/>
      <c r="AP3" s="7" t="s">
        <v>83</v>
      </c>
      <c r="AQ3" s="8" t="s">
        <v>84</v>
      </c>
      <c r="AR3" s="8" t="s">
        <v>85</v>
      </c>
      <c r="AS3" s="9" t="s">
        <v>86</v>
      </c>
      <c r="AT3" s="6"/>
      <c r="AU3" s="7" t="s">
        <v>83</v>
      </c>
      <c r="AV3" s="8" t="s">
        <v>84</v>
      </c>
      <c r="AW3" s="8" t="s">
        <v>85</v>
      </c>
      <c r="AX3" s="9" t="s">
        <v>86</v>
      </c>
      <c r="AY3" s="6"/>
      <c r="AZ3" s="7" t="s">
        <v>83</v>
      </c>
      <c r="BA3" s="8" t="s">
        <v>84</v>
      </c>
      <c r="BB3" s="8" t="s">
        <v>85</v>
      </c>
      <c r="BC3" s="9" t="s">
        <v>86</v>
      </c>
      <c r="BD3" s="10"/>
      <c r="BE3" s="7" t="s">
        <v>83</v>
      </c>
      <c r="BF3" s="8" t="s">
        <v>84</v>
      </c>
      <c r="BG3" s="8" t="s">
        <v>85</v>
      </c>
      <c r="BH3" s="9" t="s">
        <v>86</v>
      </c>
    </row>
    <row r="4" spans="1:62" ht="24.75" customHeight="1">
      <c r="A4" s="11" t="s">
        <v>87</v>
      </c>
      <c r="B4" s="12">
        <f>SUM(B5:B7)</f>
        <v>27.63</v>
      </c>
      <c r="C4" s="8">
        <v>57</v>
      </c>
      <c r="D4" s="8">
        <v>2.74</v>
      </c>
      <c r="E4" s="13">
        <f>C4*D4-B4</f>
        <v>128.55000000000001</v>
      </c>
      <c r="F4" s="11" t="s">
        <v>87</v>
      </c>
      <c r="G4" s="12">
        <f>SUM(G5:G7)</f>
        <v>12.68</v>
      </c>
      <c r="H4" s="8">
        <v>14.12</v>
      </c>
      <c r="I4" s="8">
        <v>2.74</v>
      </c>
      <c r="J4" s="14">
        <f>H4*I4-G4</f>
        <v>26.01</v>
      </c>
      <c r="K4" s="11" t="s">
        <v>87</v>
      </c>
      <c r="L4" s="12">
        <f>SUM(L5:L10)</f>
        <v>14.76</v>
      </c>
      <c r="M4" s="8">
        <v>18.68</v>
      </c>
      <c r="N4" s="8">
        <v>2.74</v>
      </c>
      <c r="O4" s="13">
        <f>(M4*N4)-L4</f>
        <v>36.423200000000001</v>
      </c>
      <c r="P4" s="11" t="s">
        <v>87</v>
      </c>
      <c r="Q4" s="12">
        <f>SUM(Q5:Q10)</f>
        <v>2.15</v>
      </c>
      <c r="R4" s="8">
        <v>15.94</v>
      </c>
      <c r="S4" s="8">
        <v>2.74</v>
      </c>
      <c r="T4" s="14">
        <f>R4*S4-Q4</f>
        <v>41.53</v>
      </c>
      <c r="U4" s="11" t="s">
        <v>87</v>
      </c>
      <c r="V4" s="12">
        <f>SUM(V5:V7)</f>
        <v>7.16</v>
      </c>
      <c r="W4" s="8">
        <v>9.3699999999999992</v>
      </c>
      <c r="X4" s="8">
        <v>2.74</v>
      </c>
      <c r="Y4" s="14">
        <f>W4*X4-V4</f>
        <v>18.510000000000002</v>
      </c>
      <c r="Z4" s="11" t="s">
        <v>87</v>
      </c>
      <c r="AA4" s="12">
        <f>SUM(AA5)</f>
        <v>6.27</v>
      </c>
      <c r="AB4" s="8">
        <v>17.68</v>
      </c>
      <c r="AC4" s="8">
        <v>3.68</v>
      </c>
      <c r="AD4" s="13">
        <f>AB4*AC4-AA4</f>
        <v>58.792400000000001</v>
      </c>
      <c r="AE4" s="11" t="s">
        <v>87</v>
      </c>
      <c r="AF4" s="12">
        <f>SUM(AF5:AF6)</f>
        <v>3.99</v>
      </c>
      <c r="AG4" s="8">
        <v>9.1999999999999993</v>
      </c>
      <c r="AH4" s="8">
        <v>2.74</v>
      </c>
      <c r="AI4" s="14">
        <f>AG4*AH4-AF4</f>
        <v>21.22</v>
      </c>
      <c r="AJ4" s="11" t="s">
        <v>87</v>
      </c>
      <c r="AK4" s="12">
        <f>SUM(AK5:AK10)</f>
        <v>2</v>
      </c>
      <c r="AL4" s="8">
        <v>5.88</v>
      </c>
      <c r="AM4" s="8">
        <v>2.74</v>
      </c>
      <c r="AN4" s="14">
        <f>AL4*AM4-AK4</f>
        <v>14.11</v>
      </c>
      <c r="AO4" s="11" t="s">
        <v>87</v>
      </c>
      <c r="AP4" s="12">
        <f>SUM(AP5:AP10)</f>
        <v>1.58</v>
      </c>
      <c r="AQ4" s="8">
        <v>5.0999999999999996</v>
      </c>
      <c r="AR4" s="8">
        <v>2.74</v>
      </c>
      <c r="AS4" s="14">
        <f>AQ4*AR4-AP4</f>
        <v>12.39</v>
      </c>
      <c r="AT4" s="11" t="s">
        <v>87</v>
      </c>
      <c r="AU4" s="12">
        <f>SUM(AU5)</f>
        <v>4.13</v>
      </c>
      <c r="AV4" s="8">
        <v>9.92</v>
      </c>
      <c r="AW4" s="8">
        <v>2.74</v>
      </c>
      <c r="AX4" s="14">
        <f>AV4*AW4-AU4</f>
        <v>23.05</v>
      </c>
      <c r="AY4" s="11" t="s">
        <v>87</v>
      </c>
      <c r="AZ4" s="12">
        <f>SUM(AZ5:AZ6)</f>
        <v>19.62</v>
      </c>
      <c r="BA4" s="8">
        <v>99.9</v>
      </c>
      <c r="BB4" s="8">
        <v>2.74</v>
      </c>
      <c r="BC4" s="14">
        <f>BA4*BB4-AZ4</f>
        <v>254.11</v>
      </c>
      <c r="BD4" s="11" t="s">
        <v>87</v>
      </c>
      <c r="BE4" s="12">
        <f>SUM(BE5:BE14)</f>
        <v>215.69</v>
      </c>
      <c r="BF4" s="8">
        <v>475.5</v>
      </c>
      <c r="BG4" s="8">
        <v>2.74</v>
      </c>
      <c r="BH4" s="15">
        <f>BF4*BG4-BE4</f>
        <v>1087.18</v>
      </c>
      <c r="BI4" s="16">
        <f>E4+J4+O4+T4+Y4+AD4+AI4</f>
        <v>331.04</v>
      </c>
      <c r="BJ4" s="2" t="s">
        <v>7</v>
      </c>
    </row>
    <row r="5" spans="1:62" ht="15.75">
      <c r="A5" s="17" t="s">
        <v>88</v>
      </c>
      <c r="B5" s="18">
        <f>11*2.1*0.95</f>
        <v>21.95</v>
      </c>
      <c r="C5" s="8"/>
      <c r="D5" s="8"/>
      <c r="E5" s="19"/>
      <c r="F5" s="17" t="s">
        <v>89</v>
      </c>
      <c r="G5" s="18">
        <f>2*2.1*1.35</f>
        <v>5.67</v>
      </c>
      <c r="H5" s="8"/>
      <c r="I5" s="8"/>
      <c r="J5" s="19"/>
      <c r="K5" s="17" t="s">
        <v>90</v>
      </c>
      <c r="L5" s="18">
        <f>2.1*1.35</f>
        <v>2.84</v>
      </c>
      <c r="M5" s="8"/>
      <c r="N5" s="8"/>
      <c r="O5" s="19"/>
      <c r="P5" s="17" t="s">
        <v>91</v>
      </c>
      <c r="Q5" s="18">
        <f>2.05*1.05</f>
        <v>2.15</v>
      </c>
      <c r="R5" s="8"/>
      <c r="S5" s="8"/>
      <c r="T5" s="19"/>
      <c r="U5" s="17" t="s">
        <v>105</v>
      </c>
      <c r="V5" s="18">
        <f>2.1*1.45</f>
        <v>3.05</v>
      </c>
      <c r="W5" s="8"/>
      <c r="X5" s="8"/>
      <c r="Y5" s="19"/>
      <c r="Z5" s="17" t="s">
        <v>110</v>
      </c>
      <c r="AA5" s="18">
        <f>3.3*1.9</f>
        <v>6.27</v>
      </c>
      <c r="AB5" s="8"/>
      <c r="AC5" s="8"/>
      <c r="AD5" s="19"/>
      <c r="AE5" s="17" t="s">
        <v>93</v>
      </c>
      <c r="AF5" s="18">
        <f>2.1*0.75</f>
        <v>1.58</v>
      </c>
      <c r="AG5" s="8"/>
      <c r="AH5" s="8"/>
      <c r="AI5" s="19"/>
      <c r="AJ5" s="17" t="s">
        <v>94</v>
      </c>
      <c r="AK5" s="18">
        <f>2.1*0.95</f>
        <v>2</v>
      </c>
      <c r="AL5" s="8"/>
      <c r="AM5" s="8"/>
      <c r="AN5" s="19"/>
      <c r="AO5" s="17" t="s">
        <v>93</v>
      </c>
      <c r="AP5" s="18">
        <f>2.1*0.75</f>
        <v>1.58</v>
      </c>
      <c r="AQ5" s="8"/>
      <c r="AR5" s="8"/>
      <c r="AS5" s="19"/>
      <c r="AT5" s="17" t="s">
        <v>95</v>
      </c>
      <c r="AU5" s="18">
        <f>3.3*1.25</f>
        <v>4.13</v>
      </c>
      <c r="AV5" s="8"/>
      <c r="AW5" s="8"/>
      <c r="AX5" s="19"/>
      <c r="AY5" s="17" t="s">
        <v>96</v>
      </c>
      <c r="AZ5" s="18">
        <f>12*2.05*0.75</f>
        <v>18.45</v>
      </c>
      <c r="BA5" s="8"/>
      <c r="BB5" s="8"/>
      <c r="BC5" s="19"/>
      <c r="BD5" s="17" t="s">
        <v>97</v>
      </c>
      <c r="BE5" s="18">
        <f>44*2.05*0.85</f>
        <v>76.67</v>
      </c>
      <c r="BF5" s="8"/>
      <c r="BG5" s="8"/>
      <c r="BH5" s="9"/>
      <c r="BI5" s="16">
        <f>AN4+AS4+AX4</f>
        <v>49.55</v>
      </c>
      <c r="BJ5" s="2" t="s">
        <v>7</v>
      </c>
    </row>
    <row r="6" spans="1:62" ht="17.25" customHeight="1">
      <c r="A6" s="17" t="s">
        <v>89</v>
      </c>
      <c r="B6" s="18">
        <f>2.1*1.35</f>
        <v>2.84</v>
      </c>
      <c r="C6" s="8"/>
      <c r="D6" s="8"/>
      <c r="E6" s="19"/>
      <c r="F6" s="17" t="s">
        <v>92</v>
      </c>
      <c r="G6" s="18">
        <f>2.1*1.2</f>
        <v>2.52</v>
      </c>
      <c r="H6" s="8"/>
      <c r="I6" s="8"/>
      <c r="J6" s="19"/>
      <c r="K6" s="17" t="s">
        <v>91</v>
      </c>
      <c r="L6" s="18">
        <f>2.05*1.05</f>
        <v>2.15</v>
      </c>
      <c r="M6" s="8"/>
      <c r="N6" s="8"/>
      <c r="O6" s="19"/>
      <c r="P6" s="17"/>
      <c r="Q6" s="18"/>
      <c r="R6" s="8"/>
      <c r="S6" s="8"/>
      <c r="T6" s="19"/>
      <c r="U6" s="17" t="s">
        <v>108</v>
      </c>
      <c r="V6" s="18">
        <f>2.35*1.75</f>
        <v>4.1100000000000003</v>
      </c>
      <c r="W6" s="8"/>
      <c r="X6" s="8"/>
      <c r="Y6" s="19"/>
      <c r="Z6" s="17"/>
      <c r="AA6" s="18"/>
      <c r="AB6" s="8"/>
      <c r="AC6" s="8"/>
      <c r="AD6" s="14"/>
      <c r="AE6" s="17" t="s">
        <v>106</v>
      </c>
      <c r="AF6" s="18">
        <f>1.585*1.52</f>
        <v>2.41</v>
      </c>
      <c r="AG6" s="8"/>
      <c r="AH6" s="8"/>
      <c r="AI6" s="19"/>
      <c r="AJ6" s="17"/>
      <c r="AK6" s="18"/>
      <c r="AL6" s="8"/>
      <c r="AM6" s="8"/>
      <c r="AN6" s="19"/>
      <c r="AO6" s="17"/>
      <c r="AP6" s="18"/>
      <c r="AQ6" s="8"/>
      <c r="AR6" s="8"/>
      <c r="AS6" s="19"/>
      <c r="AT6" s="17"/>
      <c r="AU6" s="18"/>
      <c r="AV6" s="8"/>
      <c r="AW6" s="8"/>
      <c r="AX6" s="14"/>
      <c r="AY6" s="20" t="s">
        <v>118</v>
      </c>
      <c r="AZ6" s="18">
        <f>1.585*0.74</f>
        <v>1.17</v>
      </c>
      <c r="BA6" s="8"/>
      <c r="BB6" s="8"/>
      <c r="BC6" s="19"/>
      <c r="BD6" s="17" t="s">
        <v>96</v>
      </c>
      <c r="BE6" s="18">
        <f>12*2.05*0.75</f>
        <v>18.45</v>
      </c>
      <c r="BF6" s="8"/>
      <c r="BG6" s="8"/>
      <c r="BH6" s="9"/>
    </row>
    <row r="7" spans="1:62" ht="15.75">
      <c r="A7" s="17" t="s">
        <v>90</v>
      </c>
      <c r="B7" s="18">
        <f>2.1*1.35</f>
        <v>2.84</v>
      </c>
      <c r="C7" s="8"/>
      <c r="D7" s="8"/>
      <c r="E7" s="19"/>
      <c r="F7" s="17" t="s">
        <v>100</v>
      </c>
      <c r="G7" s="18">
        <f>(1.17+0.97)*2.1</f>
        <v>4.49</v>
      </c>
      <c r="H7" s="8"/>
      <c r="I7" s="8"/>
      <c r="J7" s="19"/>
      <c r="K7" s="17" t="s">
        <v>94</v>
      </c>
      <c r="L7" s="18">
        <f>2.1*0.95</f>
        <v>2</v>
      </c>
      <c r="M7" s="8"/>
      <c r="N7" s="8"/>
      <c r="O7" s="19"/>
      <c r="P7" s="17"/>
      <c r="Q7" s="18"/>
      <c r="R7" s="8"/>
      <c r="S7" s="8"/>
      <c r="T7" s="19"/>
      <c r="U7" s="17"/>
      <c r="V7" s="18"/>
      <c r="W7" s="8"/>
      <c r="X7" s="8"/>
      <c r="Y7" s="19"/>
      <c r="Z7" s="17"/>
      <c r="AA7" s="18"/>
      <c r="AB7" s="8"/>
      <c r="AC7" s="8"/>
      <c r="AD7" s="14"/>
      <c r="AE7" s="235" t="s">
        <v>303</v>
      </c>
      <c r="AF7" s="236"/>
      <c r="AG7" s="236"/>
      <c r="AH7" s="236"/>
      <c r="AI7" s="237"/>
      <c r="AJ7" s="17"/>
      <c r="AK7" s="18"/>
      <c r="AL7" s="8"/>
      <c r="AM7" s="8"/>
      <c r="AN7" s="19"/>
      <c r="AO7" s="17"/>
      <c r="AP7" s="18"/>
      <c r="AQ7" s="8"/>
      <c r="AR7" s="8"/>
      <c r="AS7" s="19"/>
      <c r="AT7" s="17"/>
      <c r="AU7" s="18"/>
      <c r="AV7" s="8"/>
      <c r="AW7" s="8"/>
      <c r="AX7" s="14"/>
      <c r="AY7" s="235" t="s">
        <v>303</v>
      </c>
      <c r="AZ7" s="236"/>
      <c r="BA7" s="236"/>
      <c r="BB7" s="236"/>
      <c r="BC7" s="237"/>
      <c r="BD7" s="17" t="s">
        <v>101</v>
      </c>
      <c r="BE7" s="18">
        <f>10*2.05*1.4</f>
        <v>28.7</v>
      </c>
      <c r="BF7" s="8"/>
      <c r="BG7" s="8"/>
      <c r="BH7" s="9"/>
      <c r="BI7" s="16"/>
      <c r="BJ7" s="21"/>
    </row>
    <row r="8" spans="1:62" ht="15.75">
      <c r="A8" s="235" t="s">
        <v>303</v>
      </c>
      <c r="B8" s="236"/>
      <c r="C8" s="236"/>
      <c r="D8" s="236"/>
      <c r="E8" s="237"/>
      <c r="F8" s="235" t="s">
        <v>303</v>
      </c>
      <c r="G8" s="236"/>
      <c r="H8" s="236"/>
      <c r="I8" s="236"/>
      <c r="J8" s="237"/>
      <c r="K8" s="17" t="s">
        <v>89</v>
      </c>
      <c r="L8" s="18">
        <f>2.1*1.35</f>
        <v>2.84</v>
      </c>
      <c r="M8" s="8"/>
      <c r="N8" s="8"/>
      <c r="O8" s="19"/>
      <c r="P8" s="17"/>
      <c r="Q8" s="18"/>
      <c r="R8" s="8"/>
      <c r="S8" s="8"/>
      <c r="T8" s="19"/>
      <c r="U8" s="17"/>
      <c r="V8" s="18"/>
      <c r="W8" s="8"/>
      <c r="X8" s="8"/>
      <c r="Y8" s="14"/>
      <c r="Z8" s="17"/>
      <c r="AA8" s="18"/>
      <c r="AB8" s="8"/>
      <c r="AC8" s="8"/>
      <c r="AD8" s="19"/>
      <c r="AE8" s="17"/>
      <c r="AF8" s="70"/>
      <c r="AG8" s="8">
        <v>1.3</v>
      </c>
      <c r="AH8" s="8">
        <v>2.74</v>
      </c>
      <c r="AI8" s="71">
        <f>AG8*AH8-AF8</f>
        <v>3.56</v>
      </c>
      <c r="AJ8" s="17"/>
      <c r="AK8" s="18"/>
      <c r="AL8" s="8"/>
      <c r="AM8" s="8"/>
      <c r="AN8" s="19"/>
      <c r="AO8" s="17"/>
      <c r="AP8" s="18"/>
      <c r="AQ8" s="8"/>
      <c r="AR8" s="8"/>
      <c r="AS8" s="19"/>
      <c r="AT8" s="17"/>
      <c r="AU8" s="18"/>
      <c r="AV8" s="8"/>
      <c r="AW8" s="8"/>
      <c r="AX8" s="19"/>
      <c r="AY8" s="17"/>
      <c r="AZ8" s="70"/>
      <c r="BA8" s="8">
        <v>30.9</v>
      </c>
      <c r="BB8" s="8">
        <v>2.74</v>
      </c>
      <c r="BC8" s="71">
        <f>BA8*BB8-AZ8</f>
        <v>84.67</v>
      </c>
      <c r="BD8" s="17" t="s">
        <v>117</v>
      </c>
      <c r="BE8" s="18">
        <f>4*2.05*0.8</f>
        <v>6.56</v>
      </c>
      <c r="BF8" s="8"/>
      <c r="BG8" s="8"/>
      <c r="BH8" s="9"/>
      <c r="BI8" s="16"/>
      <c r="BJ8" s="21"/>
    </row>
    <row r="9" spans="1:62" ht="15.75">
      <c r="A9" s="17"/>
      <c r="B9" s="70">
        <f>B4-B11</f>
        <v>23.64</v>
      </c>
      <c r="C9" s="8">
        <f>C4-C11</f>
        <v>47</v>
      </c>
      <c r="D9" s="8">
        <v>2.74</v>
      </c>
      <c r="E9" s="69">
        <f>C9*D9-B9</f>
        <v>105.14</v>
      </c>
      <c r="F9" s="17"/>
      <c r="G9" s="70">
        <f>G4</f>
        <v>12.68</v>
      </c>
      <c r="H9" s="8">
        <f>H4-H11</f>
        <v>13.52</v>
      </c>
      <c r="I9" s="8">
        <v>2.74</v>
      </c>
      <c r="J9" s="71">
        <f>H9*I9-G9</f>
        <v>24.36</v>
      </c>
      <c r="K9" s="17" t="s">
        <v>98</v>
      </c>
      <c r="L9" s="18">
        <f>2.1*1.45</f>
        <v>3.05</v>
      </c>
      <c r="M9" s="8"/>
      <c r="N9" s="8"/>
      <c r="O9" s="19"/>
      <c r="P9" s="17"/>
      <c r="Q9" s="18"/>
      <c r="R9" s="8"/>
      <c r="S9" s="8"/>
      <c r="T9" s="19"/>
      <c r="U9" s="17"/>
      <c r="V9" s="18"/>
      <c r="W9" s="8"/>
      <c r="X9" s="8"/>
      <c r="Y9" s="14"/>
      <c r="Z9" s="17"/>
      <c r="AA9" s="18">
        <f>2.35*2+1.75+3.3*2+1.9</f>
        <v>14.95</v>
      </c>
      <c r="AB9" s="8"/>
      <c r="AC9" s="8"/>
      <c r="AD9" s="19"/>
      <c r="AE9" s="235" t="s">
        <v>304</v>
      </c>
      <c r="AF9" s="236"/>
      <c r="AG9" s="236"/>
      <c r="AH9" s="236"/>
      <c r="AI9" s="237"/>
      <c r="AJ9" s="17"/>
      <c r="AK9" s="18"/>
      <c r="AL9" s="8"/>
      <c r="AM9" s="8"/>
      <c r="AN9" s="19"/>
      <c r="AO9" s="17"/>
      <c r="AP9" s="18"/>
      <c r="AQ9" s="8"/>
      <c r="AR9" s="8"/>
      <c r="AS9" s="19"/>
      <c r="AT9" s="17"/>
      <c r="AU9" s="18"/>
      <c r="AV9" s="8"/>
      <c r="AW9" s="8"/>
      <c r="AX9" s="19"/>
      <c r="AY9" s="235" t="s">
        <v>304</v>
      </c>
      <c r="AZ9" s="236"/>
      <c r="BA9" s="236"/>
      <c r="BB9" s="236"/>
      <c r="BC9" s="237"/>
      <c r="BD9" s="17" t="s">
        <v>88</v>
      </c>
      <c r="BE9" s="18">
        <f>11*2.1*0.95</f>
        <v>21.95</v>
      </c>
      <c r="BF9" s="8"/>
      <c r="BG9" s="8"/>
      <c r="BH9" s="9"/>
    </row>
    <row r="10" spans="1:62" ht="15.75">
      <c r="A10" s="235" t="s">
        <v>304</v>
      </c>
      <c r="B10" s="236"/>
      <c r="C10" s="236"/>
      <c r="D10" s="236"/>
      <c r="E10" s="237"/>
      <c r="F10" s="235" t="s">
        <v>304</v>
      </c>
      <c r="G10" s="236"/>
      <c r="H10" s="236"/>
      <c r="I10" s="236"/>
      <c r="J10" s="237"/>
      <c r="K10" s="17" t="s">
        <v>102</v>
      </c>
      <c r="L10" s="18">
        <f>1.597*1.18</f>
        <v>1.88</v>
      </c>
      <c r="M10" s="8"/>
      <c r="N10" s="8"/>
      <c r="O10" s="19"/>
      <c r="P10" s="17"/>
      <c r="Q10" s="18"/>
      <c r="R10" s="8"/>
      <c r="S10" s="8"/>
      <c r="T10" s="19"/>
      <c r="U10" s="17"/>
      <c r="V10" s="18"/>
      <c r="W10" s="8"/>
      <c r="X10" s="8"/>
      <c r="Y10" s="14"/>
      <c r="Z10" s="17"/>
      <c r="AA10" s="18"/>
      <c r="AB10" s="8"/>
      <c r="AC10" s="8"/>
      <c r="AD10" s="19"/>
      <c r="AE10" s="17" t="s">
        <v>93</v>
      </c>
      <c r="AF10" s="18">
        <f>2.1*0.75</f>
        <v>1.58</v>
      </c>
      <c r="AG10" s="8">
        <f>AG4-AG8-AG13</f>
        <v>5.3</v>
      </c>
      <c r="AH10" s="8">
        <v>2.74</v>
      </c>
      <c r="AI10" s="71">
        <f>(AG10*AH10)-AF10</f>
        <v>12.94</v>
      </c>
      <c r="AJ10" s="72"/>
      <c r="AK10" s="18"/>
      <c r="AL10" s="8"/>
      <c r="AM10" s="8"/>
      <c r="AN10" s="19"/>
      <c r="AO10" s="17"/>
      <c r="AP10" s="18"/>
      <c r="AQ10" s="8"/>
      <c r="AR10" s="8"/>
      <c r="AS10" s="19"/>
      <c r="AT10" s="17"/>
      <c r="AU10" s="18"/>
      <c r="AV10" s="8"/>
      <c r="AW10" s="8"/>
      <c r="AX10" s="19"/>
      <c r="AY10" s="17"/>
      <c r="AZ10" s="70">
        <f>AZ4</f>
        <v>19.62</v>
      </c>
      <c r="BA10" s="8">
        <f>BA4-BA8</f>
        <v>69</v>
      </c>
      <c r="BB10" s="8">
        <v>2.74</v>
      </c>
      <c r="BC10" s="71">
        <f>(BA10*BB10)-AZ10</f>
        <v>169.44</v>
      </c>
      <c r="BD10" s="17" t="s">
        <v>102</v>
      </c>
      <c r="BE10" s="18">
        <f>5*1.597*1.18</f>
        <v>9.42</v>
      </c>
      <c r="BF10" s="8"/>
      <c r="BG10" s="8"/>
      <c r="BH10" s="9"/>
    </row>
    <row r="11" spans="1:62" ht="15.75">
      <c r="A11" s="17" t="s">
        <v>88</v>
      </c>
      <c r="B11" s="70">
        <f>2*2.1*0.95</f>
        <v>3.99</v>
      </c>
      <c r="C11" s="8">
        <v>10</v>
      </c>
      <c r="D11" s="8">
        <v>2.74</v>
      </c>
      <c r="E11" s="69">
        <f>C11*D11-B11</f>
        <v>23.41</v>
      </c>
      <c r="F11" s="17"/>
      <c r="G11" s="70"/>
      <c r="H11" s="8">
        <v>0.6</v>
      </c>
      <c r="I11" s="8">
        <v>2.74</v>
      </c>
      <c r="J11" s="71">
        <f>H11*I11-G11</f>
        <v>1.64</v>
      </c>
      <c r="K11" s="235" t="s">
        <v>303</v>
      </c>
      <c r="L11" s="236"/>
      <c r="M11" s="236"/>
      <c r="N11" s="236"/>
      <c r="O11" s="237"/>
      <c r="P11" s="17"/>
      <c r="Q11" s="18"/>
      <c r="R11" s="8"/>
      <c r="S11" s="8"/>
      <c r="T11" s="75"/>
      <c r="U11" s="17"/>
      <c r="V11" s="18"/>
      <c r="W11" s="8"/>
      <c r="X11" s="8"/>
      <c r="Y11" s="14"/>
      <c r="Z11" s="17"/>
      <c r="AA11" s="18"/>
      <c r="AB11" s="8"/>
      <c r="AC11" s="8"/>
      <c r="AD11" s="19"/>
      <c r="AE11" s="17"/>
      <c r="AF11" s="70"/>
      <c r="AG11" s="8"/>
      <c r="AH11" s="8"/>
      <c r="AI11" s="69"/>
      <c r="AJ11" s="17"/>
      <c r="AK11" s="18"/>
      <c r="AL11" s="8"/>
      <c r="AM11" s="8"/>
      <c r="AN11" s="19"/>
      <c r="AO11" s="17"/>
      <c r="AP11" s="18"/>
      <c r="AQ11" s="8"/>
      <c r="AR11" s="8"/>
      <c r="AS11" s="19"/>
      <c r="AT11" s="17"/>
      <c r="AU11" s="18"/>
      <c r="AV11" s="8"/>
      <c r="AW11" s="8"/>
      <c r="AX11" s="19"/>
      <c r="AY11" s="17"/>
      <c r="AZ11" s="18"/>
      <c r="BA11" s="8"/>
      <c r="BB11" s="8"/>
      <c r="BC11" s="19"/>
      <c r="BD11" s="17" t="s">
        <v>103</v>
      </c>
      <c r="BE11" s="18">
        <f>6*1.597*1.39</f>
        <v>13.32</v>
      </c>
      <c r="BF11" s="8"/>
      <c r="BG11" s="8"/>
      <c r="BH11" s="9"/>
    </row>
    <row r="12" spans="1:62" ht="15.75">
      <c r="A12" s="17"/>
      <c r="B12" s="18"/>
      <c r="C12" s="8"/>
      <c r="D12" s="8"/>
      <c r="E12" s="19"/>
      <c r="F12" s="17"/>
      <c r="G12" s="18"/>
      <c r="H12" s="8"/>
      <c r="I12" s="8"/>
      <c r="J12" s="19"/>
      <c r="K12" s="17"/>
      <c r="L12" s="70">
        <f>L4-L14-L15-L17</f>
        <v>8.73</v>
      </c>
      <c r="M12" s="8">
        <f>M4-M14-M17</f>
        <v>12.07</v>
      </c>
      <c r="N12" s="8">
        <v>2.74</v>
      </c>
      <c r="O12" s="71">
        <f>M12*N12-L12</f>
        <v>24.34</v>
      </c>
      <c r="P12" s="72"/>
      <c r="Q12" s="18"/>
      <c r="R12" s="8"/>
      <c r="S12" s="8"/>
      <c r="T12" s="19"/>
      <c r="U12" s="17"/>
      <c r="V12" s="18"/>
      <c r="W12" s="8"/>
      <c r="X12" s="8"/>
      <c r="Y12" s="14"/>
      <c r="Z12" s="17"/>
      <c r="AA12" s="18"/>
      <c r="AB12" s="8"/>
      <c r="AC12" s="8"/>
      <c r="AD12" s="19"/>
      <c r="AE12" s="235" t="s">
        <v>305</v>
      </c>
      <c r="AF12" s="236"/>
      <c r="AG12" s="236"/>
      <c r="AH12" s="236"/>
      <c r="AI12" s="237"/>
      <c r="AJ12" s="17"/>
      <c r="AK12" s="18"/>
      <c r="AL12" s="8"/>
      <c r="AM12" s="8"/>
      <c r="AN12" s="19"/>
      <c r="AO12" s="17"/>
      <c r="AP12" s="18"/>
      <c r="AQ12" s="8"/>
      <c r="AR12" s="8"/>
      <c r="AS12" s="19"/>
      <c r="AT12" s="17"/>
      <c r="AU12" s="18"/>
      <c r="AV12" s="8"/>
      <c r="AW12" s="8"/>
      <c r="AX12" s="19"/>
      <c r="AY12" s="17"/>
      <c r="AZ12" s="18"/>
      <c r="BA12" s="8"/>
      <c r="BB12" s="8"/>
      <c r="BC12" s="75"/>
      <c r="BD12" s="25" t="s">
        <v>106</v>
      </c>
      <c r="BE12" s="26">
        <f>4*1.585*1.52</f>
        <v>9.64</v>
      </c>
      <c r="BF12" s="8"/>
      <c r="BG12" s="8"/>
      <c r="BH12" s="9"/>
    </row>
    <row r="13" spans="1:62" ht="15.75">
      <c r="A13" s="17"/>
      <c r="B13" s="18"/>
      <c r="C13" s="8"/>
      <c r="D13" s="8"/>
      <c r="E13" s="19"/>
      <c r="F13" s="17"/>
      <c r="G13" s="18"/>
      <c r="H13" s="8"/>
      <c r="I13" s="8"/>
      <c r="J13" s="75"/>
      <c r="K13" s="235" t="s">
        <v>304</v>
      </c>
      <c r="L13" s="236"/>
      <c r="M13" s="236"/>
      <c r="N13" s="236"/>
      <c r="O13" s="237"/>
      <c r="P13" s="72"/>
      <c r="Q13" s="18"/>
      <c r="R13" s="8"/>
      <c r="S13" s="8"/>
      <c r="T13" s="19"/>
      <c r="U13" s="17"/>
      <c r="V13" s="18"/>
      <c r="W13" s="8"/>
      <c r="X13" s="8"/>
      <c r="Y13" s="14"/>
      <c r="Z13" s="17"/>
      <c r="AA13" s="18"/>
      <c r="AB13" s="8"/>
      <c r="AC13" s="8"/>
      <c r="AD13" s="19"/>
      <c r="AE13" s="17" t="s">
        <v>106</v>
      </c>
      <c r="AF13" s="18">
        <f>1.585*1.52</f>
        <v>2.41</v>
      </c>
      <c r="AG13" s="8">
        <v>2.6</v>
      </c>
      <c r="AH13" s="8">
        <v>2.74</v>
      </c>
      <c r="AI13" s="71">
        <f>AG13*AH13-AF13</f>
        <v>4.71</v>
      </c>
      <c r="AJ13" s="17"/>
      <c r="AK13" s="18"/>
      <c r="AL13" s="8"/>
      <c r="AM13" s="8"/>
      <c r="AN13" s="19"/>
      <c r="AO13" s="17"/>
      <c r="AP13" s="18"/>
      <c r="AQ13" s="8"/>
      <c r="AR13" s="8"/>
      <c r="AS13" s="19"/>
      <c r="AT13" s="17"/>
      <c r="AU13" s="18"/>
      <c r="AV13" s="8"/>
      <c r="AW13" s="8"/>
      <c r="AX13" s="19"/>
      <c r="AY13" s="17"/>
      <c r="AZ13" s="18"/>
      <c r="BA13" s="8"/>
      <c r="BB13" s="8"/>
      <c r="BC13" s="19"/>
      <c r="BD13" s="17" t="s">
        <v>99</v>
      </c>
      <c r="BE13" s="18">
        <f>10*1.585*1.78</f>
        <v>28.21</v>
      </c>
      <c r="BF13" s="8"/>
      <c r="BG13" s="8"/>
      <c r="BH13" s="9"/>
    </row>
    <row r="14" spans="1:62" ht="15.75">
      <c r="A14" s="17"/>
      <c r="B14" s="18"/>
      <c r="C14" s="8"/>
      <c r="D14" s="8"/>
      <c r="E14" s="19"/>
      <c r="F14" s="17"/>
      <c r="G14" s="18"/>
      <c r="H14" s="8"/>
      <c r="I14" s="8"/>
      <c r="J14" s="19"/>
      <c r="K14" s="17" t="s">
        <v>91</v>
      </c>
      <c r="L14" s="70">
        <f>2.05*1.05</f>
        <v>2.15</v>
      </c>
      <c r="M14" s="8">
        <v>4.53</v>
      </c>
      <c r="N14" s="8">
        <v>2.74</v>
      </c>
      <c r="O14" s="71">
        <f>(M14*N14)-L14-L15</f>
        <v>8.26</v>
      </c>
      <c r="P14" s="72"/>
      <c r="Q14" s="18"/>
      <c r="R14" s="8"/>
      <c r="S14" s="8"/>
      <c r="T14" s="19"/>
      <c r="U14" s="17"/>
      <c r="V14" s="18"/>
      <c r="W14" s="8"/>
      <c r="X14" s="8"/>
      <c r="Y14" s="14"/>
      <c r="Z14" s="17"/>
      <c r="AA14" s="18"/>
      <c r="AB14" s="8"/>
      <c r="AC14" s="8"/>
      <c r="AD14" s="19"/>
      <c r="AE14" s="17"/>
      <c r="AF14" s="18"/>
      <c r="AG14" s="8"/>
      <c r="AH14" s="8"/>
      <c r="AI14" s="19"/>
      <c r="AJ14" s="17"/>
      <c r="AK14" s="18"/>
      <c r="AL14" s="8"/>
      <c r="AM14" s="8"/>
      <c r="AN14" s="19"/>
      <c r="AO14" s="17"/>
      <c r="AP14" s="18"/>
      <c r="AQ14" s="8"/>
      <c r="AR14" s="8"/>
      <c r="AS14" s="19"/>
      <c r="AT14" s="17"/>
      <c r="AU14" s="18"/>
      <c r="AV14" s="8"/>
      <c r="AW14" s="8"/>
      <c r="AX14" s="19"/>
      <c r="AY14" s="17"/>
      <c r="AZ14" s="18"/>
      <c r="BA14" s="8"/>
      <c r="BB14" s="8"/>
      <c r="BC14" s="19"/>
      <c r="BD14" s="17" t="s">
        <v>112</v>
      </c>
      <c r="BE14" s="18">
        <f>2.35*1.18</f>
        <v>2.77</v>
      </c>
      <c r="BF14" s="8"/>
      <c r="BG14" s="8"/>
      <c r="BH14" s="9"/>
    </row>
    <row r="15" spans="1:62" ht="15.75">
      <c r="A15" s="17"/>
      <c r="B15" s="18"/>
      <c r="C15" s="8"/>
      <c r="D15" s="8"/>
      <c r="E15" s="19"/>
      <c r="F15" s="17"/>
      <c r="G15" s="18"/>
      <c r="H15" s="8"/>
      <c r="I15" s="8"/>
      <c r="J15" s="19"/>
      <c r="K15" s="17" t="s">
        <v>94</v>
      </c>
      <c r="L15" s="70">
        <f>2.1*0.95</f>
        <v>2</v>
      </c>
      <c r="M15" s="8"/>
      <c r="N15" s="8"/>
      <c r="O15" s="69"/>
      <c r="P15" s="72"/>
      <c r="Q15" s="18"/>
      <c r="R15" s="8"/>
      <c r="S15" s="8"/>
      <c r="T15" s="19"/>
      <c r="U15" s="17"/>
      <c r="V15" s="18"/>
      <c r="W15" s="8"/>
      <c r="X15" s="8"/>
      <c r="Y15" s="14"/>
      <c r="Z15" s="17"/>
      <c r="AA15" s="18"/>
      <c r="AB15" s="8"/>
      <c r="AC15" s="8"/>
      <c r="AD15" s="19"/>
      <c r="AE15" s="17"/>
      <c r="AF15" s="18"/>
      <c r="AG15" s="8"/>
      <c r="AH15" s="8"/>
      <c r="AI15" s="75"/>
      <c r="AJ15" s="17"/>
      <c r="AK15" s="18"/>
      <c r="AL15" s="8"/>
      <c r="AM15" s="8"/>
      <c r="AN15" s="19"/>
      <c r="AO15" s="17"/>
      <c r="AP15" s="18"/>
      <c r="AQ15" s="8"/>
      <c r="AR15" s="8"/>
      <c r="AS15" s="19"/>
      <c r="AT15" s="17"/>
      <c r="AU15" s="18"/>
      <c r="AV15" s="8"/>
      <c r="AW15" s="8"/>
      <c r="AX15" s="19"/>
      <c r="AY15" s="17"/>
      <c r="AZ15" s="18"/>
      <c r="BA15" s="8"/>
      <c r="BB15" s="8"/>
      <c r="BC15" s="9"/>
      <c r="BD15" s="235" t="s">
        <v>303</v>
      </c>
      <c r="BE15" s="236"/>
      <c r="BF15" s="236"/>
      <c r="BG15" s="236"/>
      <c r="BH15" s="237"/>
    </row>
    <row r="16" spans="1:62" ht="15.75">
      <c r="A16" s="247" t="s">
        <v>116</v>
      </c>
      <c r="B16" s="248"/>
      <c r="C16" s="248"/>
      <c r="D16" s="248"/>
      <c r="E16" s="249"/>
      <c r="F16" s="17"/>
      <c r="G16" s="18"/>
      <c r="H16" s="8"/>
      <c r="I16" s="8"/>
      <c r="J16" s="19"/>
      <c r="K16" s="235" t="s">
        <v>305</v>
      </c>
      <c r="L16" s="236"/>
      <c r="M16" s="236"/>
      <c r="N16" s="236"/>
      <c r="O16" s="237"/>
      <c r="P16" s="17"/>
      <c r="Q16" s="18"/>
      <c r="R16" s="8"/>
      <c r="S16" s="8"/>
      <c r="T16" s="19"/>
      <c r="U16" s="17"/>
      <c r="V16" s="18"/>
      <c r="W16" s="8"/>
      <c r="X16" s="8"/>
      <c r="Y16" s="14"/>
      <c r="Z16" s="17"/>
      <c r="AA16" s="18"/>
      <c r="AB16" s="8"/>
      <c r="AC16" s="8"/>
      <c r="AD16" s="19"/>
      <c r="AE16" s="17"/>
      <c r="AF16" s="18"/>
      <c r="AG16" s="8"/>
      <c r="AH16" s="8"/>
      <c r="AI16" s="19"/>
      <c r="AJ16" s="17"/>
      <c r="AK16" s="18"/>
      <c r="AL16" s="8"/>
      <c r="AM16" s="8"/>
      <c r="AN16" s="19"/>
      <c r="AO16" s="17"/>
      <c r="AP16" s="18"/>
      <c r="AQ16" s="8"/>
      <c r="AR16" s="8"/>
      <c r="AS16" s="19"/>
      <c r="AT16" s="17"/>
      <c r="AU16" s="18"/>
      <c r="AV16" s="8"/>
      <c r="AW16" s="8"/>
      <c r="AX16" s="19"/>
      <c r="AY16" s="17"/>
      <c r="AZ16" s="18"/>
      <c r="BA16" s="8"/>
      <c r="BB16" s="8"/>
      <c r="BC16" s="9"/>
      <c r="BD16" s="17" t="s">
        <v>88</v>
      </c>
      <c r="BE16" s="70">
        <f>9*2.1*0.95</f>
        <v>17.96</v>
      </c>
      <c r="BF16" s="8">
        <v>163</v>
      </c>
      <c r="BG16" s="8">
        <v>2.74</v>
      </c>
      <c r="BH16" s="77">
        <f>BF16*BG16-BE16-BE17</f>
        <v>421.69</v>
      </c>
    </row>
    <row r="17" spans="1:60" ht="15.75">
      <c r="A17" s="250"/>
      <c r="B17" s="251"/>
      <c r="C17" s="251"/>
      <c r="D17" s="251"/>
      <c r="E17" s="252"/>
      <c r="F17" s="17"/>
      <c r="G17" s="18"/>
      <c r="H17" s="8"/>
      <c r="I17" s="8"/>
      <c r="J17" s="19"/>
      <c r="K17" s="17" t="s">
        <v>102</v>
      </c>
      <c r="L17" s="70">
        <f>1.597*1.18</f>
        <v>1.88</v>
      </c>
      <c r="M17" s="8">
        <v>2.08</v>
      </c>
      <c r="N17" s="8">
        <v>2.74</v>
      </c>
      <c r="O17" s="71">
        <f>M17*N17-L17</f>
        <v>3.82</v>
      </c>
      <c r="P17" s="72"/>
      <c r="Q17" s="18"/>
      <c r="R17" s="8"/>
      <c r="S17" s="8"/>
      <c r="T17" s="19"/>
      <c r="U17" s="17"/>
      <c r="V17" s="18"/>
      <c r="W17" s="8"/>
      <c r="X17" s="8"/>
      <c r="Y17" s="14"/>
      <c r="Z17" s="17"/>
      <c r="AA17" s="18"/>
      <c r="AB17" s="8"/>
      <c r="AC17" s="8"/>
      <c r="AD17" s="19"/>
      <c r="AE17" s="17"/>
      <c r="AF17" s="18"/>
      <c r="AG17" s="8"/>
      <c r="AH17" s="8"/>
      <c r="AI17" s="19"/>
      <c r="AJ17" s="17"/>
      <c r="AK17" s="18"/>
      <c r="AL17" s="8"/>
      <c r="AM17" s="8"/>
      <c r="AN17" s="19"/>
      <c r="AO17" s="17"/>
      <c r="AP17" s="18"/>
      <c r="AQ17" s="8"/>
      <c r="AR17" s="8"/>
      <c r="AS17" s="19"/>
      <c r="AT17" s="17"/>
      <c r="AU17" s="18"/>
      <c r="AV17" s="8"/>
      <c r="AW17" s="8"/>
      <c r="AX17" s="19"/>
      <c r="AY17" s="17"/>
      <c r="AZ17" s="18"/>
      <c r="BA17" s="8"/>
      <c r="BB17" s="8"/>
      <c r="BC17" s="9"/>
      <c r="BD17" s="17" t="s">
        <v>97</v>
      </c>
      <c r="BE17" s="70">
        <f>4*2.05*0.85</f>
        <v>6.97</v>
      </c>
      <c r="BF17" s="43"/>
      <c r="BG17" s="43"/>
      <c r="BH17" s="44"/>
    </row>
    <row r="18" spans="1:60" ht="21.75" customHeight="1" thickBot="1">
      <c r="B18" s="270" t="s">
        <v>104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K18" s="2"/>
      <c r="AL18" s="2"/>
      <c r="AM18" s="2"/>
      <c r="AN18" s="2"/>
      <c r="AP18" s="2"/>
      <c r="AQ18" s="2"/>
      <c r="AR18" s="2"/>
      <c r="AS18" s="2"/>
      <c r="AU18" s="2"/>
      <c r="AV18" s="2"/>
      <c r="AW18" s="2"/>
      <c r="AX18" s="2"/>
      <c r="AZ18" s="2"/>
      <c r="BA18" s="2"/>
      <c r="BB18" s="2"/>
      <c r="BC18" s="2"/>
      <c r="BD18" s="235" t="s">
        <v>304</v>
      </c>
      <c r="BE18" s="236"/>
      <c r="BF18" s="236"/>
      <c r="BG18" s="236"/>
      <c r="BH18" s="237"/>
    </row>
    <row r="19" spans="1:60" s="5" customFormat="1" ht="36.75" customHeight="1" thickBot="1">
      <c r="A19" s="22"/>
      <c r="B19" s="244" t="s">
        <v>71</v>
      </c>
      <c r="C19" s="245"/>
      <c r="D19" s="245"/>
      <c r="E19" s="246"/>
      <c r="F19" s="4"/>
      <c r="G19" s="244" t="s">
        <v>72</v>
      </c>
      <c r="H19" s="245"/>
      <c r="I19" s="245"/>
      <c r="J19" s="246"/>
      <c r="K19" s="4"/>
      <c r="L19" s="244" t="s">
        <v>314</v>
      </c>
      <c r="M19" s="245"/>
      <c r="N19" s="245"/>
      <c r="O19" s="246"/>
      <c r="P19" s="4"/>
      <c r="Q19" s="263" t="s">
        <v>313</v>
      </c>
      <c r="R19" s="264"/>
      <c r="S19" s="264"/>
      <c r="T19" s="265"/>
      <c r="U19" s="22"/>
      <c r="V19" s="244" t="s">
        <v>80</v>
      </c>
      <c r="W19" s="245"/>
      <c r="X19" s="245"/>
      <c r="Y19" s="246"/>
      <c r="Z19" s="22"/>
      <c r="AA19" s="244" t="s">
        <v>81</v>
      </c>
      <c r="AB19" s="245"/>
      <c r="AC19" s="245"/>
      <c r="AD19" s="246"/>
      <c r="AE19" s="22"/>
      <c r="AF19" s="244" t="s">
        <v>82</v>
      </c>
      <c r="AG19" s="245"/>
      <c r="AH19" s="245"/>
      <c r="AI19" s="246"/>
      <c r="AK19" s="23"/>
      <c r="AL19" s="23"/>
      <c r="AM19" s="23"/>
      <c r="AN19" s="23"/>
      <c r="AP19" s="24"/>
      <c r="AQ19" s="23"/>
      <c r="AR19" s="23"/>
      <c r="AS19" s="23"/>
      <c r="AU19" s="23"/>
      <c r="AV19" s="23"/>
      <c r="AW19" s="23"/>
      <c r="AX19" s="24"/>
      <c r="AZ19" s="23"/>
      <c r="BA19" s="23"/>
      <c r="BB19" s="23"/>
      <c r="BC19" s="23"/>
      <c r="BD19" s="17"/>
      <c r="BE19" s="70">
        <f>BE4-BE16-BE17-BE21</f>
        <v>127.4</v>
      </c>
      <c r="BF19" s="8">
        <f>BF4-BF16-BF21</f>
        <v>246.48</v>
      </c>
      <c r="BG19" s="8">
        <v>2.74</v>
      </c>
      <c r="BH19" s="77">
        <f>(BF19*BG19)-BE19</f>
        <v>547.96</v>
      </c>
    </row>
    <row r="20" spans="1:60" ht="33.75" customHeight="1" thickBot="1">
      <c r="A20" s="6"/>
      <c r="B20" s="7" t="s">
        <v>83</v>
      </c>
      <c r="C20" s="8" t="s">
        <v>84</v>
      </c>
      <c r="D20" s="8" t="s">
        <v>85</v>
      </c>
      <c r="E20" s="9" t="s">
        <v>86</v>
      </c>
      <c r="F20" s="10"/>
      <c r="G20" s="7" t="s">
        <v>83</v>
      </c>
      <c r="H20" s="8" t="s">
        <v>84</v>
      </c>
      <c r="I20" s="8" t="s">
        <v>85</v>
      </c>
      <c r="J20" s="9" t="s">
        <v>86</v>
      </c>
      <c r="K20" s="10"/>
      <c r="L20" s="7" t="s">
        <v>83</v>
      </c>
      <c r="M20" s="8" t="s">
        <v>84</v>
      </c>
      <c r="N20" s="8" t="s">
        <v>85</v>
      </c>
      <c r="O20" s="9" t="s">
        <v>86</v>
      </c>
      <c r="P20" s="10"/>
      <c r="Q20" s="7" t="s">
        <v>83</v>
      </c>
      <c r="R20" s="8" t="s">
        <v>84</v>
      </c>
      <c r="S20" s="8" t="s">
        <v>85</v>
      </c>
      <c r="T20" s="9" t="s">
        <v>86</v>
      </c>
      <c r="U20" s="6"/>
      <c r="V20" s="7" t="s">
        <v>83</v>
      </c>
      <c r="W20" s="8" t="s">
        <v>84</v>
      </c>
      <c r="X20" s="8" t="s">
        <v>85</v>
      </c>
      <c r="Y20" s="9" t="s">
        <v>86</v>
      </c>
      <c r="Z20" s="6"/>
      <c r="AA20" s="7" t="s">
        <v>83</v>
      </c>
      <c r="AB20" s="8" t="s">
        <v>84</v>
      </c>
      <c r="AC20" s="8" t="s">
        <v>85</v>
      </c>
      <c r="AD20" s="9" t="s">
        <v>86</v>
      </c>
      <c r="AE20" s="6"/>
      <c r="AF20" s="7" t="s">
        <v>83</v>
      </c>
      <c r="AG20" s="8" t="s">
        <v>84</v>
      </c>
      <c r="AH20" s="8" t="s">
        <v>85</v>
      </c>
      <c r="AI20" s="9" t="s">
        <v>86</v>
      </c>
      <c r="AJ20" s="238" t="s">
        <v>82</v>
      </c>
      <c r="AK20" s="239"/>
      <c r="AL20" s="239"/>
      <c r="AM20" s="239"/>
      <c r="AN20" s="240"/>
      <c r="AV20" s="79" t="s">
        <v>332</v>
      </c>
      <c r="BA20" s="31"/>
      <c r="BD20" s="235" t="s">
        <v>305</v>
      </c>
      <c r="BE20" s="236"/>
      <c r="BF20" s="236"/>
      <c r="BG20" s="236"/>
      <c r="BH20" s="237"/>
    </row>
    <row r="21" spans="1:60" ht="24.75" customHeight="1" thickBot="1">
      <c r="A21" s="11" t="s">
        <v>87</v>
      </c>
      <c r="B21" s="12">
        <f>SUM(B22:B23)</f>
        <v>26.78</v>
      </c>
      <c r="C21" s="8">
        <v>56.5</v>
      </c>
      <c r="D21" s="8">
        <v>2.74</v>
      </c>
      <c r="E21" s="28">
        <f>C21*D21-B21</f>
        <v>128.03</v>
      </c>
      <c r="F21" s="11" t="s">
        <v>87</v>
      </c>
      <c r="G21" s="12">
        <f>SUM(G22:G24)</f>
        <v>10.38</v>
      </c>
      <c r="H21" s="8">
        <v>13.9</v>
      </c>
      <c r="I21" s="8">
        <v>2.74</v>
      </c>
      <c r="J21" s="15">
        <f>H21*I21-G21</f>
        <v>27.71</v>
      </c>
      <c r="K21" s="11" t="s">
        <v>87</v>
      </c>
      <c r="L21" s="12">
        <f>SUM(L22:L25)</f>
        <v>7.16</v>
      </c>
      <c r="M21" s="8">
        <v>9.6999999999999993</v>
      </c>
      <c r="N21" s="8">
        <v>2.74</v>
      </c>
      <c r="O21" s="15">
        <f>M21*N21-L21</f>
        <v>19.420000000000002</v>
      </c>
      <c r="P21" s="11" t="s">
        <v>87</v>
      </c>
      <c r="Q21" s="12">
        <f>SUM(Q22:Q24)</f>
        <v>6.27</v>
      </c>
      <c r="R21" s="8">
        <v>17.64</v>
      </c>
      <c r="S21" s="8">
        <v>3.68</v>
      </c>
      <c r="T21" s="28">
        <f>R21*S21-Q21</f>
        <v>58.645200000000003</v>
      </c>
      <c r="U21" s="29" t="s">
        <v>87</v>
      </c>
      <c r="V21" s="12">
        <f>SUM(V22:V27)</f>
        <v>4.13</v>
      </c>
      <c r="W21" s="8">
        <v>9.92</v>
      </c>
      <c r="X21" s="8">
        <v>2.74</v>
      </c>
      <c r="Y21" s="15">
        <f>W21*X21-V21</f>
        <v>23.05</v>
      </c>
      <c r="Z21" s="29" t="s">
        <v>87</v>
      </c>
      <c r="AA21" s="12">
        <f>SUM(AA22:AA23)</f>
        <v>19.62</v>
      </c>
      <c r="AB21" s="8">
        <v>98.8</v>
      </c>
      <c r="AC21" s="8">
        <v>2.74</v>
      </c>
      <c r="AD21" s="15">
        <f>AB21*AC21-AA21</f>
        <v>251.09</v>
      </c>
      <c r="AE21" s="29" t="s">
        <v>87</v>
      </c>
      <c r="AF21" s="12">
        <f>SUM(AF22:AF31)</f>
        <v>216.13</v>
      </c>
      <c r="AG21" s="8">
        <v>485.3</v>
      </c>
      <c r="AH21" s="8">
        <v>2.74</v>
      </c>
      <c r="AI21" s="15">
        <f>AG21*AH21-AF21</f>
        <v>1113.5899999999999</v>
      </c>
      <c r="AJ21" s="241" t="s">
        <v>303</v>
      </c>
      <c r="AK21" s="242"/>
      <c r="AL21" s="242"/>
      <c r="AM21" s="242"/>
      <c r="AN21" s="243"/>
      <c r="AO21" s="16">
        <f>T21+O21+J21+E21</f>
        <v>233.81</v>
      </c>
      <c r="AP21" s="30" t="s">
        <v>7</v>
      </c>
      <c r="AV21" s="79" t="s">
        <v>330</v>
      </c>
      <c r="AW21" s="27">
        <f>5*(1.597*2+1.18)+6*(1.597*2+1.39)+4*(1.585*2+1.52)+10*(1.585*2+1.78)+2.35*2+1.18</f>
        <v>123.514</v>
      </c>
      <c r="AX21" s="79" t="s">
        <v>331</v>
      </c>
      <c r="BD21" s="32"/>
      <c r="BE21" s="76">
        <f>BE14+BE13+BE12+BE11+BE10</f>
        <v>63.36</v>
      </c>
      <c r="BF21" s="34">
        <v>66.02</v>
      </c>
      <c r="BG21" s="34">
        <v>2.74</v>
      </c>
      <c r="BH21" s="78">
        <f>(BF21*BG21)-BE21</f>
        <v>117.53</v>
      </c>
    </row>
    <row r="22" spans="1:60" ht="15.75">
      <c r="A22" s="17" t="s">
        <v>88</v>
      </c>
      <c r="B22" s="18">
        <f>12*2.1*0.95</f>
        <v>23.94</v>
      </c>
      <c r="C22" s="8"/>
      <c r="D22" s="8"/>
      <c r="E22" s="9"/>
      <c r="F22" s="17" t="s">
        <v>89</v>
      </c>
      <c r="G22" s="18">
        <f>2.1*1.35</f>
        <v>2.84</v>
      </c>
      <c r="H22" s="8"/>
      <c r="I22" s="8"/>
      <c r="J22" s="9"/>
      <c r="K22" s="17" t="s">
        <v>105</v>
      </c>
      <c r="L22" s="18">
        <f>2.1*1.45</f>
        <v>3.05</v>
      </c>
      <c r="M22" s="8"/>
      <c r="N22" s="8"/>
      <c r="O22" s="9"/>
      <c r="P22" s="17" t="s">
        <v>110</v>
      </c>
      <c r="Q22" s="18">
        <f>3.3*1.9</f>
        <v>6.27</v>
      </c>
      <c r="R22" s="8"/>
      <c r="S22" s="8"/>
      <c r="T22" s="9"/>
      <c r="U22" s="17" t="s">
        <v>95</v>
      </c>
      <c r="V22" s="18">
        <f>3.3*1.25</f>
        <v>4.13</v>
      </c>
      <c r="W22" s="8"/>
      <c r="X22" s="8"/>
      <c r="Y22" s="9"/>
      <c r="Z22" s="17" t="s">
        <v>96</v>
      </c>
      <c r="AA22" s="18">
        <f>12*2.05*0.75</f>
        <v>18.45</v>
      </c>
      <c r="AB22" s="8"/>
      <c r="AC22" s="8"/>
      <c r="AD22" s="9"/>
      <c r="AE22" s="17" t="s">
        <v>97</v>
      </c>
      <c r="AF22" s="18">
        <f>42*2.05*0.85</f>
        <v>73.19</v>
      </c>
      <c r="AG22" s="8"/>
      <c r="AH22" s="8"/>
      <c r="AI22" s="9"/>
      <c r="AJ22" s="17" t="s">
        <v>88</v>
      </c>
      <c r="AK22" s="70">
        <f>10*2.1*0.95</f>
        <v>19.95</v>
      </c>
      <c r="AL22" s="8">
        <v>176.1</v>
      </c>
      <c r="AM22" s="8">
        <v>2.74</v>
      </c>
      <c r="AN22" s="77">
        <f>AL22*AM22-AK22-AK23</f>
        <v>455.59</v>
      </c>
      <c r="AO22" s="16">
        <f>Y21</f>
        <v>23.05</v>
      </c>
      <c r="AP22" s="30" t="s">
        <v>7</v>
      </c>
      <c r="AV22" s="79" t="s">
        <v>333</v>
      </c>
      <c r="AW22" s="27">
        <f>2*(2.05*2+0.85)+11*(2.1*2+0.95)</f>
        <v>66.55</v>
      </c>
      <c r="AX22" s="79" t="s">
        <v>331</v>
      </c>
      <c r="AZ22" s="31"/>
      <c r="BH22" s="31"/>
    </row>
    <row r="23" spans="1:60" ht="17.25" customHeight="1">
      <c r="A23" s="17" t="s">
        <v>89</v>
      </c>
      <c r="B23" s="18">
        <f>2.1*1.35</f>
        <v>2.84</v>
      </c>
      <c r="C23" s="8"/>
      <c r="D23" s="8"/>
      <c r="E23" s="9"/>
      <c r="F23" s="17" t="s">
        <v>105</v>
      </c>
      <c r="G23" s="18">
        <f>2.1*1.45</f>
        <v>3.05</v>
      </c>
      <c r="H23" s="8"/>
      <c r="I23" s="8"/>
      <c r="J23" s="9"/>
      <c r="K23" s="17" t="s">
        <v>108</v>
      </c>
      <c r="L23" s="18">
        <f>2.35*1.75</f>
        <v>4.1100000000000003</v>
      </c>
      <c r="M23" s="8"/>
      <c r="N23" s="8"/>
      <c r="O23" s="9"/>
      <c r="P23" s="17"/>
      <c r="Q23" s="18"/>
      <c r="R23" s="8"/>
      <c r="S23" s="8"/>
      <c r="T23" s="15"/>
      <c r="U23" s="20"/>
      <c r="V23" s="18"/>
      <c r="W23" s="8"/>
      <c r="X23" s="8"/>
      <c r="Y23" s="15"/>
      <c r="Z23" s="20" t="s">
        <v>118</v>
      </c>
      <c r="AA23" s="18">
        <f>1.585*0.74</f>
        <v>1.17</v>
      </c>
      <c r="AB23" s="8"/>
      <c r="AC23" s="8"/>
      <c r="AD23" s="9"/>
      <c r="AE23" s="17" t="s">
        <v>96</v>
      </c>
      <c r="AF23" s="18">
        <f>12*2.05*0.75</f>
        <v>18.45</v>
      </c>
      <c r="AG23" s="8"/>
      <c r="AH23" s="8"/>
      <c r="AI23" s="9"/>
      <c r="AJ23" s="17" t="s">
        <v>97</v>
      </c>
      <c r="AK23" s="70">
        <f>4*2.05*0.85</f>
        <v>6.97</v>
      </c>
      <c r="AL23" s="43"/>
      <c r="AM23" s="43"/>
      <c r="AN23" s="44"/>
      <c r="AV23" s="79" t="s">
        <v>334</v>
      </c>
    </row>
    <row r="24" spans="1:60" ht="15.75">
      <c r="A24" s="235" t="s">
        <v>303</v>
      </c>
      <c r="B24" s="236"/>
      <c r="C24" s="236"/>
      <c r="D24" s="236"/>
      <c r="E24" s="237"/>
      <c r="F24" s="17" t="s">
        <v>100</v>
      </c>
      <c r="G24" s="18">
        <f>(1.17+0.97)*2.1</f>
        <v>4.49</v>
      </c>
      <c r="H24" s="8"/>
      <c r="I24" s="8"/>
      <c r="J24" s="9"/>
      <c r="K24" s="17"/>
      <c r="L24" s="18"/>
      <c r="M24" s="8"/>
      <c r="N24" s="8"/>
      <c r="O24" s="9"/>
      <c r="P24" s="17"/>
      <c r="Q24" s="18"/>
      <c r="R24" s="8"/>
      <c r="S24" s="8"/>
      <c r="T24" s="15"/>
      <c r="U24" s="20"/>
      <c r="V24" s="18"/>
      <c r="W24" s="8"/>
      <c r="X24" s="8"/>
      <c r="Y24" s="15"/>
      <c r="Z24" s="235" t="s">
        <v>303</v>
      </c>
      <c r="AA24" s="236"/>
      <c r="AB24" s="236"/>
      <c r="AC24" s="236"/>
      <c r="AD24" s="237"/>
      <c r="AE24" s="17" t="s">
        <v>101</v>
      </c>
      <c r="AF24" s="18">
        <f>12*2.05*1.4</f>
        <v>34.44</v>
      </c>
      <c r="AG24" s="8"/>
      <c r="AH24" s="8"/>
      <c r="AI24" s="9"/>
      <c r="AJ24" s="235" t="s">
        <v>304</v>
      </c>
      <c r="AK24" s="236"/>
      <c r="AL24" s="236"/>
      <c r="AM24" s="236"/>
      <c r="AN24" s="237"/>
      <c r="AV24" s="79" t="s">
        <v>330</v>
      </c>
      <c r="AW24" s="27">
        <f>3*(1.597*2+1.18)+6*(1.597*2+1.39)+4*(1.585*2+1.52)+9*(1.585*2+1.78)+2*(2.35*2+1.18)</f>
        <v>115.696</v>
      </c>
      <c r="AX24" s="79" t="s">
        <v>331</v>
      </c>
    </row>
    <row r="25" spans="1:60" ht="15.75">
      <c r="A25" s="17"/>
      <c r="B25" s="70">
        <f>B21-B27</f>
        <v>22.79</v>
      </c>
      <c r="C25" s="8">
        <f>C21-C27</f>
        <v>47.07</v>
      </c>
      <c r="D25" s="8">
        <v>2.74</v>
      </c>
      <c r="E25" s="69">
        <f>C25*D25-B25</f>
        <v>106.1818</v>
      </c>
      <c r="F25" s="235" t="s">
        <v>303</v>
      </c>
      <c r="G25" s="236"/>
      <c r="H25" s="236"/>
      <c r="I25" s="236"/>
      <c r="J25" s="237"/>
      <c r="K25" s="17"/>
      <c r="L25" s="18"/>
      <c r="M25" s="8"/>
      <c r="N25" s="8"/>
      <c r="O25" s="15"/>
      <c r="P25" s="17"/>
      <c r="Q25" s="18"/>
      <c r="R25" s="8"/>
      <c r="S25" s="8"/>
      <c r="T25" s="15"/>
      <c r="U25" s="20"/>
      <c r="V25" s="18"/>
      <c r="W25" s="8"/>
      <c r="X25" s="8"/>
      <c r="Y25" s="9"/>
      <c r="Z25" s="17"/>
      <c r="AA25" s="70"/>
      <c r="AB25" s="8">
        <v>36.799999999999997</v>
      </c>
      <c r="AC25" s="8">
        <v>2.74</v>
      </c>
      <c r="AD25" s="71">
        <f>AB25*AC25-AA25</f>
        <v>100.83</v>
      </c>
      <c r="AE25" s="17" t="s">
        <v>117</v>
      </c>
      <c r="AF25" s="18">
        <f>4*2.05*0.8</f>
        <v>6.56</v>
      </c>
      <c r="AG25" s="8"/>
      <c r="AH25" s="8"/>
      <c r="AI25" s="9"/>
      <c r="AJ25" s="17"/>
      <c r="AK25" s="70">
        <f>AF21-AK22-AK23-AK27</f>
        <v>129.66</v>
      </c>
      <c r="AL25" s="8">
        <f>AG21-AL22-AL27</f>
        <v>237.52</v>
      </c>
      <c r="AM25" s="8">
        <v>2.74</v>
      </c>
      <c r="AN25" s="77">
        <f>(AL25*AM25)-AK25</f>
        <v>521.14</v>
      </c>
      <c r="AV25" s="79" t="s">
        <v>333</v>
      </c>
      <c r="AW25" s="27">
        <f>2*(2.05*2+0.85)+12*(2.1*2+0.95)</f>
        <v>71.7</v>
      </c>
      <c r="AX25" s="79" t="s">
        <v>331</v>
      </c>
      <c r="BB25" s="31"/>
    </row>
    <row r="26" spans="1:60" ht="15.75" customHeight="1">
      <c r="A26" s="235" t="s">
        <v>304</v>
      </c>
      <c r="B26" s="236"/>
      <c r="C26" s="236"/>
      <c r="D26" s="236"/>
      <c r="E26" s="237"/>
      <c r="F26" s="17"/>
      <c r="G26" s="70">
        <f>G21</f>
        <v>10.38</v>
      </c>
      <c r="H26" s="8">
        <f>H21-H28</f>
        <v>8.66</v>
      </c>
      <c r="I26" s="8">
        <v>2.74</v>
      </c>
      <c r="J26" s="71">
        <f>H26*I26-G26</f>
        <v>13.35</v>
      </c>
      <c r="K26" s="72"/>
      <c r="L26" s="18"/>
      <c r="M26" s="8"/>
      <c r="N26" s="8"/>
      <c r="O26" s="15"/>
      <c r="P26" s="17"/>
      <c r="Q26" s="18"/>
      <c r="R26" s="8"/>
      <c r="S26" s="8"/>
      <c r="T26" s="28"/>
      <c r="U26" s="20"/>
      <c r="V26" s="18"/>
      <c r="W26" s="8"/>
      <c r="X26" s="8"/>
      <c r="Y26" s="9"/>
      <c r="Z26" s="235" t="s">
        <v>304</v>
      </c>
      <c r="AA26" s="236"/>
      <c r="AB26" s="236"/>
      <c r="AC26" s="236"/>
      <c r="AD26" s="237"/>
      <c r="AE26" s="17" t="s">
        <v>88</v>
      </c>
      <c r="AF26" s="18">
        <f>12*2.1*0.95</f>
        <v>23.94</v>
      </c>
      <c r="AG26" s="8"/>
      <c r="AH26" s="8"/>
      <c r="AI26" s="9"/>
      <c r="AJ26" s="235" t="s">
        <v>305</v>
      </c>
      <c r="AK26" s="236"/>
      <c r="AL26" s="236"/>
      <c r="AM26" s="236"/>
      <c r="AN26" s="237"/>
    </row>
    <row r="27" spans="1:60" ht="16.5" thickBot="1">
      <c r="A27" s="17" t="s">
        <v>88</v>
      </c>
      <c r="B27" s="70">
        <f>2*2.1*0.95</f>
        <v>3.99</v>
      </c>
      <c r="C27" s="8">
        <v>9.43</v>
      </c>
      <c r="D27" s="8">
        <v>2.74</v>
      </c>
      <c r="E27" s="69">
        <f>C27*D27-B27</f>
        <v>21.848199999999999</v>
      </c>
      <c r="F27" s="235" t="s">
        <v>304</v>
      </c>
      <c r="G27" s="236"/>
      <c r="H27" s="236"/>
      <c r="I27" s="236"/>
      <c r="J27" s="237"/>
      <c r="K27" s="36"/>
      <c r="L27" s="37"/>
      <c r="M27" s="38"/>
      <c r="N27" s="38"/>
      <c r="O27" s="40"/>
      <c r="P27" s="36"/>
      <c r="Q27" s="37"/>
      <c r="R27" s="38"/>
      <c r="S27" s="38"/>
      <c r="T27" s="39"/>
      <c r="U27" s="41"/>
      <c r="V27" s="37"/>
      <c r="W27" s="38"/>
      <c r="X27" s="38"/>
      <c r="Y27" s="39"/>
      <c r="Z27" s="17"/>
      <c r="AA27" s="70">
        <f>AA21</f>
        <v>19.62</v>
      </c>
      <c r="AB27" s="8">
        <f>AB21-AB25</f>
        <v>62</v>
      </c>
      <c r="AC27" s="8">
        <v>2.74</v>
      </c>
      <c r="AD27" s="71">
        <f>(AB27*AC27)-AA27</f>
        <v>150.26</v>
      </c>
      <c r="AE27" s="17" t="s">
        <v>102</v>
      </c>
      <c r="AF27" s="18">
        <f>3*1.597*1.18</f>
        <v>5.65</v>
      </c>
      <c r="AG27" s="8"/>
      <c r="AH27" s="8"/>
      <c r="AI27" s="9"/>
      <c r="AJ27" s="32"/>
      <c r="AK27" s="76">
        <f>AF31+AF30+AF29+AF28+AF27</f>
        <v>59.55</v>
      </c>
      <c r="AL27" s="34">
        <v>71.680000000000007</v>
      </c>
      <c r="AM27" s="34">
        <v>2.74</v>
      </c>
      <c r="AN27" s="78">
        <f>(AL27*AM27)-AK27</f>
        <v>136.85</v>
      </c>
    </row>
    <row r="28" spans="1:60" ht="15.75">
      <c r="A28" s="17"/>
      <c r="B28" s="18"/>
      <c r="C28" s="8"/>
      <c r="D28" s="8"/>
      <c r="E28" s="9"/>
      <c r="F28" s="17"/>
      <c r="G28" s="70"/>
      <c r="H28" s="8">
        <f>4.64+0.6</f>
        <v>5.24</v>
      </c>
      <c r="I28" s="8">
        <v>2.74</v>
      </c>
      <c r="J28" s="71">
        <f>H28*I28-G28</f>
        <v>14.36</v>
      </c>
      <c r="K28" s="74"/>
      <c r="L28" s="43"/>
      <c r="M28" s="43"/>
      <c r="N28" s="43"/>
      <c r="O28" s="73"/>
      <c r="P28" s="45"/>
      <c r="Q28" s="43"/>
      <c r="R28" s="43"/>
      <c r="S28" s="43"/>
      <c r="T28" s="44"/>
      <c r="U28" s="46"/>
      <c r="V28" s="43"/>
      <c r="W28" s="43"/>
      <c r="X28" s="43"/>
      <c r="Y28" s="44"/>
      <c r="Z28" s="46"/>
      <c r="AA28" s="43"/>
      <c r="AB28" s="43"/>
      <c r="AC28" s="43"/>
      <c r="AD28" s="44"/>
      <c r="AE28" s="17" t="s">
        <v>103</v>
      </c>
      <c r="AF28" s="18">
        <f>6*1.597*1.39</f>
        <v>13.32</v>
      </c>
      <c r="AG28" s="8"/>
      <c r="AH28" s="8"/>
      <c r="AI28" s="9"/>
    </row>
    <row r="29" spans="1:60" ht="15.75">
      <c r="A29" s="42"/>
      <c r="B29" s="43"/>
      <c r="C29" s="43"/>
      <c r="D29" s="43"/>
      <c r="E29" s="44"/>
      <c r="F29" s="45"/>
      <c r="G29" s="43"/>
      <c r="H29" s="43"/>
      <c r="I29" s="43"/>
      <c r="J29" s="73"/>
      <c r="K29" s="45"/>
      <c r="L29" s="43"/>
      <c r="M29" s="43"/>
      <c r="N29" s="43"/>
      <c r="O29" s="44"/>
      <c r="P29" s="45"/>
      <c r="Q29" s="43"/>
      <c r="R29" s="43"/>
      <c r="S29" s="43"/>
      <c r="T29" s="44"/>
      <c r="U29" s="46"/>
      <c r="V29" s="43"/>
      <c r="W29" s="43"/>
      <c r="X29" s="43"/>
      <c r="Y29" s="44"/>
      <c r="Z29" s="46"/>
      <c r="AA29" s="43"/>
      <c r="AB29" s="43"/>
      <c r="AC29" s="43"/>
      <c r="AD29" s="73"/>
      <c r="AE29" s="17" t="s">
        <v>106</v>
      </c>
      <c r="AF29" s="18">
        <f>4*1.585*1.52</f>
        <v>9.64</v>
      </c>
      <c r="AG29" s="8"/>
      <c r="AH29" s="8"/>
      <c r="AI29" s="9"/>
      <c r="AN29" s="31"/>
    </row>
    <row r="30" spans="1:60" ht="15.75">
      <c r="A30" s="247" t="s">
        <v>116</v>
      </c>
      <c r="B30" s="248"/>
      <c r="C30" s="248"/>
      <c r="D30" s="248"/>
      <c r="E30" s="249"/>
      <c r="F30" s="45"/>
      <c r="G30" s="43"/>
      <c r="H30" s="43"/>
      <c r="I30" s="43"/>
      <c r="J30" s="44"/>
      <c r="K30" s="45"/>
      <c r="L30" s="43"/>
      <c r="M30" s="43"/>
      <c r="N30" s="43"/>
      <c r="O30" s="44"/>
      <c r="P30" s="45"/>
      <c r="Q30" s="43"/>
      <c r="R30" s="43"/>
      <c r="S30" s="43"/>
      <c r="T30" s="44"/>
      <c r="U30" s="46"/>
      <c r="V30" s="43"/>
      <c r="W30" s="43"/>
      <c r="X30" s="43"/>
      <c r="Y30" s="44"/>
      <c r="Z30" s="46"/>
      <c r="AA30" s="43"/>
      <c r="AB30" s="43"/>
      <c r="AC30" s="43"/>
      <c r="AD30" s="44"/>
      <c r="AE30" s="17" t="s">
        <v>99</v>
      </c>
      <c r="AF30" s="18">
        <f>9*1.585*1.78</f>
        <v>25.39</v>
      </c>
      <c r="AG30" s="8"/>
      <c r="AH30" s="8"/>
      <c r="AI30" s="9"/>
    </row>
    <row r="31" spans="1:60" ht="16.5" thickBot="1">
      <c r="A31" s="250"/>
      <c r="B31" s="251"/>
      <c r="C31" s="251"/>
      <c r="D31" s="251"/>
      <c r="E31" s="252"/>
      <c r="F31" s="49"/>
      <c r="G31" s="47"/>
      <c r="H31" s="47"/>
      <c r="I31" s="47"/>
      <c r="J31" s="48"/>
      <c r="K31" s="49"/>
      <c r="L31" s="47"/>
      <c r="M31" s="47"/>
      <c r="N31" s="47"/>
      <c r="O31" s="48"/>
      <c r="P31" s="49"/>
      <c r="Q31" s="47"/>
      <c r="R31" s="47"/>
      <c r="S31" s="47"/>
      <c r="T31" s="48"/>
      <c r="U31" s="50"/>
      <c r="V31" s="47"/>
      <c r="W31" s="47"/>
      <c r="X31" s="47"/>
      <c r="Y31" s="48"/>
      <c r="Z31" s="50"/>
      <c r="AA31" s="47"/>
      <c r="AB31" s="47"/>
      <c r="AC31" s="47"/>
      <c r="AD31" s="48"/>
      <c r="AE31" s="32" t="s">
        <v>112</v>
      </c>
      <c r="AF31" s="33">
        <f>2*2.35*1.18</f>
        <v>5.55</v>
      </c>
      <c r="AG31" s="34"/>
      <c r="AH31" s="34"/>
      <c r="AI31" s="35"/>
    </row>
    <row r="32" spans="1:60" ht="21.75" customHeight="1" thickBot="1">
      <c r="B32" s="262" t="s">
        <v>107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51"/>
      <c r="AF32" s="80"/>
      <c r="AG32" s="51"/>
      <c r="AH32" s="51"/>
      <c r="AI32" s="51"/>
      <c r="AP32" s="2"/>
      <c r="AQ32" s="2"/>
      <c r="AR32" s="2"/>
      <c r="AS32" s="2"/>
      <c r="AU32" s="2"/>
      <c r="AV32" s="2"/>
      <c r="AW32" s="2"/>
      <c r="AX32" s="2"/>
      <c r="AZ32" s="2"/>
      <c r="BA32" s="2"/>
      <c r="BB32" s="2"/>
      <c r="BC32" s="2"/>
      <c r="BE32" s="2"/>
      <c r="BF32" s="2"/>
      <c r="BG32" s="2"/>
      <c r="BH32" s="2"/>
    </row>
    <row r="33" spans="1:60" s="5" customFormat="1" ht="36.75" customHeight="1" thickBot="1">
      <c r="A33" s="3"/>
      <c r="B33" s="244" t="s">
        <v>71</v>
      </c>
      <c r="C33" s="245"/>
      <c r="D33" s="245"/>
      <c r="E33" s="246"/>
      <c r="F33" s="3"/>
      <c r="G33" s="244" t="s">
        <v>72</v>
      </c>
      <c r="H33" s="245"/>
      <c r="I33" s="245"/>
      <c r="J33" s="246"/>
      <c r="K33" s="3"/>
      <c r="L33" s="263" t="s">
        <v>75</v>
      </c>
      <c r="M33" s="264"/>
      <c r="N33" s="264"/>
      <c r="O33" s="265"/>
      <c r="P33" s="3"/>
      <c r="Q33" s="263" t="s">
        <v>76</v>
      </c>
      <c r="R33" s="264"/>
      <c r="S33" s="264"/>
      <c r="T33" s="265"/>
      <c r="U33" s="3"/>
      <c r="V33" s="244" t="s">
        <v>81</v>
      </c>
      <c r="W33" s="245"/>
      <c r="X33" s="245"/>
      <c r="Y33" s="246"/>
      <c r="Z33" s="52"/>
      <c r="AA33" s="266" t="s">
        <v>82</v>
      </c>
      <c r="AB33" s="267"/>
      <c r="AC33" s="267"/>
      <c r="AD33" s="268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P33" s="23"/>
      <c r="AQ33" s="23"/>
      <c r="AR33" s="23"/>
      <c r="AS33" s="23"/>
      <c r="AU33" s="23"/>
      <c r="AV33" s="23"/>
      <c r="AW33" s="23"/>
      <c r="AX33" s="23"/>
      <c r="BB33" s="23"/>
      <c r="BC33" s="23"/>
      <c r="BE33" s="23"/>
      <c r="BF33" s="23"/>
      <c r="BG33" s="23"/>
      <c r="BH33" s="23"/>
    </row>
    <row r="34" spans="1:60" ht="33.75" customHeight="1" thickBot="1">
      <c r="A34" s="6"/>
      <c r="B34" s="7" t="s">
        <v>83</v>
      </c>
      <c r="C34" s="8" t="s">
        <v>84</v>
      </c>
      <c r="D34" s="8" t="s">
        <v>85</v>
      </c>
      <c r="E34" s="9" t="s">
        <v>86</v>
      </c>
      <c r="F34" s="6"/>
      <c r="G34" s="7" t="s">
        <v>83</v>
      </c>
      <c r="H34" s="8" t="s">
        <v>84</v>
      </c>
      <c r="I34" s="8" t="s">
        <v>85</v>
      </c>
      <c r="J34" s="9" t="s">
        <v>86</v>
      </c>
      <c r="K34" s="6"/>
      <c r="L34" s="7" t="s">
        <v>83</v>
      </c>
      <c r="M34" s="8" t="s">
        <v>84</v>
      </c>
      <c r="N34" s="8" t="s">
        <v>85</v>
      </c>
      <c r="O34" s="9" t="s">
        <v>86</v>
      </c>
      <c r="P34" s="6"/>
      <c r="Q34" s="7" t="s">
        <v>83</v>
      </c>
      <c r="R34" s="8" t="s">
        <v>84</v>
      </c>
      <c r="S34" s="8" t="s">
        <v>85</v>
      </c>
      <c r="T34" s="9" t="s">
        <v>86</v>
      </c>
      <c r="U34" s="6"/>
      <c r="V34" s="7" t="s">
        <v>83</v>
      </c>
      <c r="W34" s="8" t="s">
        <v>84</v>
      </c>
      <c r="X34" s="8" t="s">
        <v>85</v>
      </c>
      <c r="Y34" s="9" t="s">
        <v>86</v>
      </c>
      <c r="Z34" s="6"/>
      <c r="AA34" s="53" t="s">
        <v>83</v>
      </c>
      <c r="AB34" s="8" t="s">
        <v>84</v>
      </c>
      <c r="AC34" s="8" t="s">
        <v>85</v>
      </c>
      <c r="AD34" s="9" t="s">
        <v>86</v>
      </c>
      <c r="AE34" s="238" t="s">
        <v>82</v>
      </c>
      <c r="AF34" s="239"/>
      <c r="AG34" s="239"/>
      <c r="AH34" s="239"/>
      <c r="AI34" s="240"/>
      <c r="AJ34" s="54" t="s">
        <v>119</v>
      </c>
      <c r="AZ34" s="2"/>
      <c r="BA34" s="2"/>
    </row>
    <row r="35" spans="1:60" ht="24.75" customHeight="1">
      <c r="A35" s="11" t="s">
        <v>87</v>
      </c>
      <c r="B35" s="12">
        <f>SUM(B36:B37)</f>
        <v>26.78</v>
      </c>
      <c r="C35" s="8">
        <v>57</v>
      </c>
      <c r="D35" s="8">
        <v>2.64</v>
      </c>
      <c r="E35" s="13">
        <f>C35*D35-B35</f>
        <v>123.7</v>
      </c>
      <c r="F35" s="11" t="s">
        <v>87</v>
      </c>
      <c r="G35" s="12">
        <f>SUM(G36:G39)</f>
        <v>12.67</v>
      </c>
      <c r="H35" s="8">
        <v>20.74</v>
      </c>
      <c r="I35" s="8">
        <v>2.64</v>
      </c>
      <c r="J35" s="14">
        <f>H35*I35-G35</f>
        <v>42.08</v>
      </c>
      <c r="K35" s="11" t="s">
        <v>87</v>
      </c>
      <c r="L35" s="12">
        <f>SUM(L36:L38)</f>
        <v>5.46</v>
      </c>
      <c r="M35" s="8">
        <v>10.72</v>
      </c>
      <c r="N35" s="8">
        <v>2.64</v>
      </c>
      <c r="O35" s="14">
        <f>M35*N35-L35</f>
        <v>22.84</v>
      </c>
      <c r="P35" s="11" t="s">
        <v>87</v>
      </c>
      <c r="Q35" s="12">
        <f>SUM(Q36:Q37)</f>
        <v>4.47</v>
      </c>
      <c r="R35" s="8">
        <v>18.600000000000001</v>
      </c>
      <c r="S35" s="8">
        <v>2.64</v>
      </c>
      <c r="T35" s="28">
        <f>R35*S35-Q35</f>
        <v>44.634</v>
      </c>
      <c r="U35" s="29" t="s">
        <v>87</v>
      </c>
      <c r="V35" s="12">
        <f>SUM(V36:V37)</f>
        <v>21.16</v>
      </c>
      <c r="W35" s="8">
        <v>104.32</v>
      </c>
      <c r="X35" s="8">
        <v>2.64</v>
      </c>
      <c r="Y35" s="15">
        <f>W35*X35-V35</f>
        <v>254.24</v>
      </c>
      <c r="Z35" s="55" t="s">
        <v>87</v>
      </c>
      <c r="AA35" s="12">
        <f>SUM(AA36:AA45)</f>
        <v>241.76</v>
      </c>
      <c r="AB35" s="8">
        <v>527.1</v>
      </c>
      <c r="AC35" s="8">
        <v>2.64</v>
      </c>
      <c r="AD35" s="15">
        <f>AB35*AC35-AA35</f>
        <v>1149.78</v>
      </c>
      <c r="AE35" s="241" t="s">
        <v>303</v>
      </c>
      <c r="AF35" s="242"/>
      <c r="AG35" s="242"/>
      <c r="AH35" s="242"/>
      <c r="AI35" s="243"/>
      <c r="AJ35" s="31">
        <f>(E35+J35+O35+T35)*13</f>
        <v>3032.3</v>
      </c>
      <c r="AK35" s="30" t="s">
        <v>7</v>
      </c>
      <c r="AZ35" s="2"/>
      <c r="BA35" s="2"/>
    </row>
    <row r="36" spans="1:60" ht="15.75">
      <c r="A36" s="17" t="s">
        <v>88</v>
      </c>
      <c r="B36" s="18">
        <f>12*2.1*0.95</f>
        <v>23.94</v>
      </c>
      <c r="C36" s="8"/>
      <c r="D36" s="8"/>
      <c r="E36" s="19"/>
      <c r="F36" s="17" t="s">
        <v>114</v>
      </c>
      <c r="G36" s="18">
        <f>2.1*1.35</f>
        <v>2.84</v>
      </c>
      <c r="H36" s="8"/>
      <c r="I36" s="8"/>
      <c r="J36" s="19"/>
      <c r="K36" s="17" t="s">
        <v>92</v>
      </c>
      <c r="L36" s="18">
        <f>2.1*1.2</f>
        <v>2.52</v>
      </c>
      <c r="M36" s="8"/>
      <c r="N36" s="8"/>
      <c r="O36" s="19"/>
      <c r="P36" s="17" t="s">
        <v>109</v>
      </c>
      <c r="Q36" s="18">
        <f>2.35*1.9</f>
        <v>4.47</v>
      </c>
      <c r="R36" s="8"/>
      <c r="S36" s="8"/>
      <c r="T36" s="9"/>
      <c r="U36" s="17" t="s">
        <v>96</v>
      </c>
      <c r="V36" s="18">
        <f>13*2.05*0.75</f>
        <v>19.989999999999998</v>
      </c>
      <c r="W36" s="8"/>
      <c r="X36" s="8"/>
      <c r="Y36" s="9"/>
      <c r="Z36" s="17" t="s">
        <v>97</v>
      </c>
      <c r="AA36" s="18">
        <f>46*2.05*0.85</f>
        <v>80.16</v>
      </c>
      <c r="AB36" s="8"/>
      <c r="AC36" s="8"/>
      <c r="AD36" s="9"/>
      <c r="AE36" s="17" t="s">
        <v>88</v>
      </c>
      <c r="AF36" s="70">
        <f>10*2.1*0.95</f>
        <v>19.95</v>
      </c>
      <c r="AG36" s="8">
        <v>176</v>
      </c>
      <c r="AH36" s="8">
        <v>2.64</v>
      </c>
      <c r="AI36" s="77">
        <f>AG36*AH36-AF36-AF37</f>
        <v>437.72</v>
      </c>
      <c r="AJ36" s="31">
        <f>Y35*13</f>
        <v>3305.12</v>
      </c>
      <c r="AK36" s="30" t="s">
        <v>7</v>
      </c>
      <c r="AZ36" s="2"/>
      <c r="BA36" s="2"/>
    </row>
    <row r="37" spans="1:60" ht="17.25" customHeight="1">
      <c r="A37" s="17" t="s">
        <v>114</v>
      </c>
      <c r="B37" s="18">
        <f>2.1*1.35</f>
        <v>2.84</v>
      </c>
      <c r="C37" s="8"/>
      <c r="D37" s="8"/>
      <c r="E37" s="19"/>
      <c r="F37" s="17" t="s">
        <v>99</v>
      </c>
      <c r="G37" s="18">
        <f>1.585*1.78</f>
        <v>2.82</v>
      </c>
      <c r="H37" s="8"/>
      <c r="I37" s="8"/>
      <c r="J37" s="19"/>
      <c r="K37" s="17" t="s">
        <v>115</v>
      </c>
      <c r="L37" s="18">
        <f>2.35*1.25</f>
        <v>2.94</v>
      </c>
      <c r="M37" s="8"/>
      <c r="N37" s="8"/>
      <c r="O37" s="19"/>
      <c r="P37" s="17"/>
      <c r="Q37" s="18"/>
      <c r="R37" s="8"/>
      <c r="S37" s="8"/>
      <c r="T37" s="9"/>
      <c r="U37" s="20" t="s">
        <v>118</v>
      </c>
      <c r="V37" s="18">
        <f>1.585*0.74</f>
        <v>1.17</v>
      </c>
      <c r="W37" s="8"/>
      <c r="X37" s="8"/>
      <c r="Y37" s="9"/>
      <c r="Z37" s="17" t="s">
        <v>96</v>
      </c>
      <c r="AA37" s="18">
        <f>13*2.05*0.75</f>
        <v>19.989999999999998</v>
      </c>
      <c r="AB37" s="8"/>
      <c r="AC37" s="8"/>
      <c r="AD37" s="9"/>
      <c r="AE37" s="17" t="s">
        <v>97</v>
      </c>
      <c r="AF37" s="70">
        <f>4*2.05*0.85</f>
        <v>6.97</v>
      </c>
      <c r="AG37" s="43"/>
      <c r="AH37" s="43"/>
      <c r="AI37" s="44"/>
      <c r="AJ37" s="31">
        <f>AD35*13</f>
        <v>14947.14</v>
      </c>
      <c r="AK37" s="30" t="s">
        <v>7</v>
      </c>
      <c r="AZ37" s="2"/>
      <c r="BA37" s="2"/>
    </row>
    <row r="38" spans="1:60" ht="15.75">
      <c r="A38" s="235" t="s">
        <v>303</v>
      </c>
      <c r="B38" s="236"/>
      <c r="C38" s="236"/>
      <c r="D38" s="236"/>
      <c r="E38" s="237"/>
      <c r="F38" s="17" t="s">
        <v>100</v>
      </c>
      <c r="G38" s="18">
        <f>(1.17+0.97)*2.1</f>
        <v>4.49</v>
      </c>
      <c r="H38" s="8"/>
      <c r="I38" s="8"/>
      <c r="J38" s="19"/>
      <c r="K38" s="17"/>
      <c r="L38" s="18"/>
      <c r="M38" s="8"/>
      <c r="N38" s="8"/>
      <c r="O38" s="19"/>
      <c r="P38" s="17"/>
      <c r="Q38" s="18"/>
      <c r="R38" s="8"/>
      <c r="S38" s="8"/>
      <c r="T38" s="15"/>
      <c r="U38" s="235" t="s">
        <v>303</v>
      </c>
      <c r="V38" s="236"/>
      <c r="W38" s="236"/>
      <c r="X38" s="236"/>
      <c r="Y38" s="237"/>
      <c r="Z38" s="17" t="s">
        <v>101</v>
      </c>
      <c r="AA38" s="18">
        <f>12*2.05*1.4</f>
        <v>34.44</v>
      </c>
      <c r="AB38" s="8"/>
      <c r="AC38" s="8"/>
      <c r="AD38" s="9"/>
      <c r="AE38" s="235" t="s">
        <v>304</v>
      </c>
      <c r="AF38" s="236"/>
      <c r="AG38" s="236"/>
      <c r="AH38" s="236"/>
      <c r="AI38" s="237"/>
      <c r="AJ38" s="27"/>
      <c r="AY38" s="16"/>
      <c r="AZ38" s="21"/>
      <c r="BA38" s="2"/>
    </row>
    <row r="39" spans="1:60" ht="15.75">
      <c r="A39" s="17"/>
      <c r="B39" s="70">
        <f>B35-B41</f>
        <v>22.79</v>
      </c>
      <c r="C39" s="8">
        <f>C35-C41</f>
        <v>47.06</v>
      </c>
      <c r="D39" s="8">
        <v>2.64</v>
      </c>
      <c r="E39" s="69">
        <f>C39*D39-B39</f>
        <v>101.44840000000001</v>
      </c>
      <c r="F39" s="17" t="s">
        <v>92</v>
      </c>
      <c r="G39" s="18">
        <f>2.1*1.2</f>
        <v>2.52</v>
      </c>
      <c r="H39" s="8"/>
      <c r="I39" s="8"/>
      <c r="J39" s="75"/>
      <c r="K39" s="17"/>
      <c r="L39" s="18"/>
      <c r="M39" s="8"/>
      <c r="N39" s="8"/>
      <c r="O39" s="14"/>
      <c r="P39" s="17"/>
      <c r="Q39" s="18"/>
      <c r="R39" s="8"/>
      <c r="S39" s="8"/>
      <c r="T39" s="9"/>
      <c r="U39" s="17"/>
      <c r="V39" s="70"/>
      <c r="W39" s="8">
        <v>33.1</v>
      </c>
      <c r="X39" s="8">
        <v>2.64</v>
      </c>
      <c r="Y39" s="71">
        <f>W39*X39-V39</f>
        <v>87.38</v>
      </c>
      <c r="Z39" s="17" t="s">
        <v>117</v>
      </c>
      <c r="AA39" s="18">
        <f>4*2.05*0.8</f>
        <v>6.56</v>
      </c>
      <c r="AB39" s="8"/>
      <c r="AC39" s="8"/>
      <c r="AD39" s="9"/>
      <c r="AE39" s="17"/>
      <c r="AF39" s="70">
        <f>AA35-AF36-AF37-AF41</f>
        <v>142.91999999999999</v>
      </c>
      <c r="AG39" s="8">
        <f>AB35-AG36-AG41</f>
        <v>279.5</v>
      </c>
      <c r="AH39" s="8">
        <v>2.64</v>
      </c>
      <c r="AI39" s="77">
        <f>(AG39*AH39)-AF39</f>
        <v>594.96</v>
      </c>
      <c r="AJ39" s="27"/>
      <c r="AY39" s="16"/>
      <c r="AZ39" s="21"/>
      <c r="BA39" s="2"/>
    </row>
    <row r="40" spans="1:60" ht="15.75">
      <c r="A40" s="235" t="s">
        <v>304</v>
      </c>
      <c r="B40" s="236"/>
      <c r="C40" s="236"/>
      <c r="D40" s="236"/>
      <c r="E40" s="237"/>
      <c r="F40" s="235" t="s">
        <v>303</v>
      </c>
      <c r="G40" s="236"/>
      <c r="H40" s="236"/>
      <c r="I40" s="236"/>
      <c r="J40" s="237"/>
      <c r="K40" s="72"/>
      <c r="L40" s="18"/>
      <c r="M40" s="8"/>
      <c r="N40" s="8"/>
      <c r="O40" s="14"/>
      <c r="P40" s="17"/>
      <c r="Q40" s="18"/>
      <c r="R40" s="8"/>
      <c r="S40" s="8"/>
      <c r="T40" s="9"/>
      <c r="U40" s="235" t="s">
        <v>304</v>
      </c>
      <c r="V40" s="236"/>
      <c r="W40" s="236"/>
      <c r="X40" s="236"/>
      <c r="Y40" s="237"/>
      <c r="Z40" s="17" t="s">
        <v>88</v>
      </c>
      <c r="AA40" s="18">
        <f>12*2.1*0.95</f>
        <v>23.94</v>
      </c>
      <c r="AB40" s="8"/>
      <c r="AC40" s="8"/>
      <c r="AD40" s="9"/>
      <c r="AE40" s="235" t="s">
        <v>305</v>
      </c>
      <c r="AF40" s="236"/>
      <c r="AG40" s="236"/>
      <c r="AH40" s="236"/>
      <c r="AI40" s="237"/>
      <c r="AJ40" s="27"/>
      <c r="AZ40" s="2"/>
      <c r="BA40" s="2"/>
    </row>
    <row r="41" spans="1:60" ht="16.5" thickBot="1">
      <c r="A41" s="17" t="s">
        <v>88</v>
      </c>
      <c r="B41" s="70">
        <f>2*2.1*0.95</f>
        <v>3.99</v>
      </c>
      <c r="C41" s="8">
        <v>9.94</v>
      </c>
      <c r="D41" s="8">
        <v>2.64</v>
      </c>
      <c r="E41" s="69">
        <f>C41*D41-B41</f>
        <v>22.2516</v>
      </c>
      <c r="F41" s="17"/>
      <c r="G41" s="70">
        <f>G35-G45</f>
        <v>9.85</v>
      </c>
      <c r="H41" s="8">
        <f>H35-H43-H45</f>
        <v>10.39</v>
      </c>
      <c r="I41" s="8">
        <v>2.64</v>
      </c>
      <c r="J41" s="71">
        <f>H41*I41-G41</f>
        <v>17.579999999999998</v>
      </c>
      <c r="K41" s="72"/>
      <c r="L41" s="18"/>
      <c r="M41" s="8"/>
      <c r="N41" s="8"/>
      <c r="O41" s="19"/>
      <c r="P41" s="17"/>
      <c r="Q41" s="18"/>
      <c r="R41" s="8"/>
      <c r="S41" s="8"/>
      <c r="T41" s="9"/>
      <c r="U41" s="17"/>
      <c r="V41" s="70">
        <f>V35</f>
        <v>21.16</v>
      </c>
      <c r="W41" s="8">
        <f>W35-W39</f>
        <v>71.22</v>
      </c>
      <c r="X41" s="8">
        <v>2.64</v>
      </c>
      <c r="Y41" s="71">
        <f>(W41*X41)-V41</f>
        <v>166.86</v>
      </c>
      <c r="Z41" s="17" t="s">
        <v>106</v>
      </c>
      <c r="AA41" s="18">
        <f>4*1.585*1.52</f>
        <v>9.64</v>
      </c>
      <c r="AB41" s="8"/>
      <c r="AC41" s="8"/>
      <c r="AD41" s="9"/>
      <c r="AE41" s="32"/>
      <c r="AF41" s="76">
        <f>AA44+AA43+AA42+AA41</f>
        <v>71.92</v>
      </c>
      <c r="AG41" s="34">
        <v>71.599999999999994</v>
      </c>
      <c r="AH41" s="34">
        <v>2.64</v>
      </c>
      <c r="AI41" s="78">
        <f>(AG41*AH41)-AF41</f>
        <v>117.1</v>
      </c>
      <c r="AJ41" s="27"/>
      <c r="AZ41" s="2"/>
      <c r="BA41" s="2"/>
    </row>
    <row r="42" spans="1:60" ht="15.75">
      <c r="A42" s="17"/>
      <c r="B42" s="18"/>
      <c r="C42" s="8"/>
      <c r="D42" s="8"/>
      <c r="E42" s="19"/>
      <c r="F42" s="235" t="s">
        <v>304</v>
      </c>
      <c r="G42" s="236"/>
      <c r="H42" s="236"/>
      <c r="I42" s="236"/>
      <c r="J42" s="237"/>
      <c r="K42" s="17"/>
      <c r="L42" s="18"/>
      <c r="M42" s="8"/>
      <c r="N42" s="8"/>
      <c r="O42" s="19"/>
      <c r="P42" s="17"/>
      <c r="Q42" s="18"/>
      <c r="R42" s="8"/>
      <c r="S42" s="8"/>
      <c r="T42" s="9"/>
      <c r="U42" s="20"/>
      <c r="V42" s="18"/>
      <c r="W42" s="8"/>
      <c r="X42" s="8"/>
      <c r="Y42" s="9"/>
      <c r="Z42" s="17" t="s">
        <v>99</v>
      </c>
      <c r="AA42" s="18">
        <f>10*1.585*1.78</f>
        <v>28.21</v>
      </c>
      <c r="AB42" s="8"/>
      <c r="AC42" s="8"/>
      <c r="AD42" s="9"/>
    </row>
    <row r="43" spans="1:60" ht="15.75" customHeight="1">
      <c r="A43" s="247" t="s">
        <v>116</v>
      </c>
      <c r="B43" s="248"/>
      <c r="C43" s="248"/>
      <c r="D43" s="248"/>
      <c r="E43" s="249"/>
      <c r="F43" s="17"/>
      <c r="G43" s="70"/>
      <c r="H43" s="8">
        <v>7.94</v>
      </c>
      <c r="I43" s="8">
        <v>2.64</v>
      </c>
      <c r="J43" s="71">
        <f>H43*I43-G43</f>
        <v>20.96</v>
      </c>
      <c r="K43" s="72"/>
      <c r="L43" s="18"/>
      <c r="M43" s="8"/>
      <c r="N43" s="8"/>
      <c r="O43" s="19"/>
      <c r="P43" s="17"/>
      <c r="Q43" s="18"/>
      <c r="R43" s="8"/>
      <c r="S43" s="8"/>
      <c r="T43" s="9"/>
      <c r="U43" s="20"/>
      <c r="V43" s="18"/>
      <c r="W43" s="8"/>
      <c r="X43" s="8"/>
      <c r="Y43" s="81"/>
      <c r="Z43" s="17" t="s">
        <v>111</v>
      </c>
      <c r="AA43" s="18">
        <f>6*2.354*0.88+6*1.635*0.51</f>
        <v>17.43</v>
      </c>
      <c r="AB43" s="8"/>
      <c r="AC43" s="8"/>
      <c r="AD43" s="9"/>
      <c r="AI43" s="31"/>
    </row>
    <row r="44" spans="1:60" ht="15.75">
      <c r="A44" s="250"/>
      <c r="B44" s="251"/>
      <c r="C44" s="251"/>
      <c r="D44" s="251"/>
      <c r="E44" s="252"/>
      <c r="F44" s="235" t="s">
        <v>305</v>
      </c>
      <c r="G44" s="236"/>
      <c r="H44" s="236"/>
      <c r="I44" s="236"/>
      <c r="J44" s="237"/>
      <c r="K44" s="17"/>
      <c r="L44" s="18"/>
      <c r="M44" s="8"/>
      <c r="N44" s="8"/>
      <c r="O44" s="19"/>
      <c r="P44" s="17"/>
      <c r="Q44" s="18"/>
      <c r="R44" s="8"/>
      <c r="S44" s="8"/>
      <c r="T44" s="9"/>
      <c r="U44" s="20"/>
      <c r="V44" s="18"/>
      <c r="W44" s="8"/>
      <c r="X44" s="8"/>
      <c r="Y44" s="9"/>
      <c r="Z44" s="17" t="s">
        <v>112</v>
      </c>
      <c r="AA44" s="18">
        <f>6*2.35*1.18</f>
        <v>16.64</v>
      </c>
      <c r="AB44" s="8"/>
      <c r="AC44" s="8"/>
      <c r="AD44" s="9"/>
    </row>
    <row r="45" spans="1:60" ht="16.5" thickBot="1">
      <c r="A45" s="32"/>
      <c r="B45" s="33"/>
      <c r="C45" s="34"/>
      <c r="D45" s="34"/>
      <c r="E45" s="35"/>
      <c r="F45" s="17" t="s">
        <v>99</v>
      </c>
      <c r="G45" s="18">
        <f>1.585*1.78</f>
        <v>2.82</v>
      </c>
      <c r="H45" s="8">
        <v>2.41</v>
      </c>
      <c r="I45" s="8">
        <v>2.64</v>
      </c>
      <c r="J45" s="71">
        <f>H45*I45-G45</f>
        <v>3.54</v>
      </c>
      <c r="K45" s="17"/>
      <c r="L45" s="18"/>
      <c r="M45" s="8"/>
      <c r="N45" s="8"/>
      <c r="O45" s="19"/>
      <c r="P45" s="17"/>
      <c r="Q45" s="18"/>
      <c r="R45" s="8"/>
      <c r="S45" s="8"/>
      <c r="T45" s="9"/>
      <c r="U45" s="20"/>
      <c r="V45" s="18"/>
      <c r="W45" s="8"/>
      <c r="X45" s="8"/>
      <c r="Y45" s="9"/>
      <c r="Z45" s="56" t="s">
        <v>120</v>
      </c>
      <c r="AA45" s="57">
        <f>1.8*2.64</f>
        <v>4.75</v>
      </c>
      <c r="AB45" s="58"/>
      <c r="AC45" s="58"/>
      <c r="AD45" s="59"/>
    </row>
    <row r="46" spans="1:60" ht="21.75" customHeight="1" thickBot="1">
      <c r="B46" s="261" t="s">
        <v>113</v>
      </c>
      <c r="C46" s="261"/>
      <c r="D46" s="261"/>
      <c r="E46" s="261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7"/>
      <c r="AK46" s="2"/>
      <c r="AL46" s="2"/>
      <c r="AM46" s="2"/>
      <c r="AN46" s="2"/>
      <c r="AP46" s="2"/>
      <c r="AQ46" s="2"/>
      <c r="AR46" s="2"/>
      <c r="AS46" s="2"/>
      <c r="AZ46" s="2"/>
      <c r="BA46" s="2"/>
      <c r="BB46" s="2"/>
      <c r="BC46" s="2"/>
    </row>
    <row r="47" spans="1:60" s="5" customFormat="1" ht="36.75" customHeight="1" thickBot="1">
      <c r="A47" s="22"/>
      <c r="B47" s="244" t="s">
        <v>71</v>
      </c>
      <c r="C47" s="245"/>
      <c r="D47" s="245"/>
      <c r="E47" s="246"/>
      <c r="F47" s="3"/>
      <c r="G47" s="244" t="s">
        <v>72</v>
      </c>
      <c r="H47" s="245"/>
      <c r="I47" s="245"/>
      <c r="J47" s="246"/>
      <c r="K47" s="3"/>
      <c r="L47" s="263" t="s">
        <v>75</v>
      </c>
      <c r="M47" s="264"/>
      <c r="N47" s="264"/>
      <c r="O47" s="265"/>
      <c r="P47" s="3"/>
      <c r="Q47" s="263" t="s">
        <v>76</v>
      </c>
      <c r="R47" s="264"/>
      <c r="S47" s="264"/>
      <c r="T47" s="265"/>
      <c r="U47" s="3"/>
      <c r="V47" s="244" t="s">
        <v>81</v>
      </c>
      <c r="W47" s="245"/>
      <c r="X47" s="245"/>
      <c r="Y47" s="246"/>
      <c r="Z47" s="52"/>
      <c r="AA47" s="266" t="s">
        <v>82</v>
      </c>
      <c r="AB47" s="267"/>
      <c r="AC47" s="267"/>
      <c r="AD47" s="268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P47" s="23"/>
      <c r="AQ47" s="23"/>
      <c r="AR47" s="23"/>
      <c r="AS47" s="23"/>
      <c r="AU47" s="23"/>
      <c r="AV47" s="23"/>
      <c r="AW47" s="23"/>
      <c r="AX47" s="23"/>
      <c r="BB47" s="23"/>
      <c r="BC47" s="23"/>
      <c r="BE47" s="23"/>
      <c r="BF47" s="23"/>
      <c r="BG47" s="23"/>
      <c r="BH47" s="23"/>
    </row>
    <row r="48" spans="1:60" ht="33.75" customHeight="1" thickBot="1">
      <c r="A48" s="6"/>
      <c r="B48" s="7" t="s">
        <v>83</v>
      </c>
      <c r="C48" s="8" t="s">
        <v>84</v>
      </c>
      <c r="D48" s="8" t="s">
        <v>85</v>
      </c>
      <c r="E48" s="9" t="s">
        <v>86</v>
      </c>
      <c r="F48" s="6"/>
      <c r="G48" s="7" t="s">
        <v>83</v>
      </c>
      <c r="H48" s="8" t="s">
        <v>84</v>
      </c>
      <c r="I48" s="8" t="s">
        <v>85</v>
      </c>
      <c r="J48" s="9" t="s">
        <v>86</v>
      </c>
      <c r="K48" s="6"/>
      <c r="L48" s="7" t="s">
        <v>83</v>
      </c>
      <c r="M48" s="8" t="s">
        <v>84</v>
      </c>
      <c r="N48" s="8" t="s">
        <v>85</v>
      </c>
      <c r="O48" s="9" t="s">
        <v>86</v>
      </c>
      <c r="P48" s="6"/>
      <c r="Q48" s="7" t="s">
        <v>83</v>
      </c>
      <c r="R48" s="8" t="s">
        <v>84</v>
      </c>
      <c r="S48" s="8" t="s">
        <v>85</v>
      </c>
      <c r="T48" s="9" t="s">
        <v>86</v>
      </c>
      <c r="U48" s="6"/>
      <c r="V48" s="7" t="s">
        <v>83</v>
      </c>
      <c r="W48" s="8" t="s">
        <v>84</v>
      </c>
      <c r="X48" s="8" t="s">
        <v>85</v>
      </c>
      <c r="Y48" s="9" t="s">
        <v>86</v>
      </c>
      <c r="Z48" s="6"/>
      <c r="AA48" s="53" t="s">
        <v>83</v>
      </c>
      <c r="AB48" s="8" t="s">
        <v>84</v>
      </c>
      <c r="AC48" s="8" t="s">
        <v>85</v>
      </c>
      <c r="AD48" s="9" t="s">
        <v>86</v>
      </c>
      <c r="AE48" s="238" t="s">
        <v>82</v>
      </c>
      <c r="AF48" s="239"/>
      <c r="AG48" s="239"/>
      <c r="AH48" s="239"/>
      <c r="AI48" s="240"/>
      <c r="AJ48" s="54" t="s">
        <v>119</v>
      </c>
      <c r="AZ48" s="2"/>
      <c r="BA48" s="2"/>
    </row>
    <row r="49" spans="1:60" ht="24.75" customHeight="1">
      <c r="A49" s="11" t="s">
        <v>87</v>
      </c>
      <c r="B49" s="12">
        <f>SUM(B50:B51)</f>
        <v>26.78</v>
      </c>
      <c r="C49" s="8">
        <v>56.5</v>
      </c>
      <c r="D49" s="8">
        <v>2.64</v>
      </c>
      <c r="E49" s="28">
        <f>C49*D49-B49</f>
        <v>122.38</v>
      </c>
      <c r="F49" s="29" t="s">
        <v>87</v>
      </c>
      <c r="G49" s="12">
        <f>SUM(G50:G53)</f>
        <v>12.67</v>
      </c>
      <c r="H49" s="8">
        <v>20.74</v>
      </c>
      <c r="I49" s="8">
        <v>2.64</v>
      </c>
      <c r="J49" s="14">
        <f>H49*I49-G49</f>
        <v>42.08</v>
      </c>
      <c r="K49" s="11" t="s">
        <v>87</v>
      </c>
      <c r="L49" s="12">
        <f>SUM(L50:L52)</f>
        <v>5.46</v>
      </c>
      <c r="M49" s="8">
        <v>10.72</v>
      </c>
      <c r="N49" s="8">
        <v>2.64</v>
      </c>
      <c r="O49" s="14">
        <f>M49*N49-L49</f>
        <v>22.84</v>
      </c>
      <c r="P49" s="11" t="s">
        <v>87</v>
      </c>
      <c r="Q49" s="12">
        <f>SUM(Q50:Q51)</f>
        <v>4.47</v>
      </c>
      <c r="R49" s="8">
        <v>18.600000000000001</v>
      </c>
      <c r="S49" s="8">
        <v>2.64</v>
      </c>
      <c r="T49" s="28">
        <f>R49*S49-Q49</f>
        <v>44.634</v>
      </c>
      <c r="U49" s="29" t="s">
        <v>87</v>
      </c>
      <c r="V49" s="12">
        <f>SUM(V50:V51)</f>
        <v>21.16</v>
      </c>
      <c r="W49" s="8">
        <v>104.01</v>
      </c>
      <c r="X49" s="8">
        <v>2.64</v>
      </c>
      <c r="Y49" s="15">
        <f>W49*X49-V49</f>
        <v>253.43</v>
      </c>
      <c r="Z49" s="55" t="s">
        <v>87</v>
      </c>
      <c r="AA49" s="12">
        <f>SUM(AA50:AA59)</f>
        <v>241.76</v>
      </c>
      <c r="AB49" s="8">
        <v>526.70000000000005</v>
      </c>
      <c r="AC49" s="8">
        <v>2.64</v>
      </c>
      <c r="AD49" s="15">
        <f>AB49*AC49-AA49</f>
        <v>1148.73</v>
      </c>
      <c r="AE49" s="241" t="s">
        <v>303</v>
      </c>
      <c r="AF49" s="242"/>
      <c r="AG49" s="242"/>
      <c r="AH49" s="242"/>
      <c r="AI49" s="243"/>
      <c r="AJ49" s="31">
        <f>(E49+J49+O49+T49)*13</f>
        <v>3015.14</v>
      </c>
      <c r="AK49" s="30" t="s">
        <v>7</v>
      </c>
      <c r="AZ49" s="2"/>
      <c r="BA49" s="2"/>
    </row>
    <row r="50" spans="1:60" ht="15.75">
      <c r="A50" s="17" t="s">
        <v>88</v>
      </c>
      <c r="B50" s="18">
        <f>12*2.1*0.95</f>
        <v>23.94</v>
      </c>
      <c r="C50" s="8"/>
      <c r="D50" s="8"/>
      <c r="E50" s="9"/>
      <c r="F50" s="17" t="s">
        <v>114</v>
      </c>
      <c r="G50" s="18">
        <f>2.1*1.35</f>
        <v>2.84</v>
      </c>
      <c r="H50" s="8"/>
      <c r="I50" s="8"/>
      <c r="J50" s="19"/>
      <c r="K50" s="17" t="s">
        <v>92</v>
      </c>
      <c r="L50" s="18">
        <f>2.1*1.2</f>
        <v>2.52</v>
      </c>
      <c r="M50" s="8"/>
      <c r="N50" s="8"/>
      <c r="O50" s="19"/>
      <c r="P50" s="17" t="s">
        <v>109</v>
      </c>
      <c r="Q50" s="18">
        <f>2.35*1.9</f>
        <v>4.47</v>
      </c>
      <c r="R50" s="8"/>
      <c r="S50" s="8"/>
      <c r="T50" s="9"/>
      <c r="U50" s="17" t="s">
        <v>96</v>
      </c>
      <c r="V50" s="18">
        <f>13*2.05*0.75</f>
        <v>19.989999999999998</v>
      </c>
      <c r="W50" s="8"/>
      <c r="X50" s="8"/>
      <c r="Y50" s="9"/>
      <c r="Z50" s="17" t="s">
        <v>97</v>
      </c>
      <c r="AA50" s="18">
        <f>46*2.05*0.85</f>
        <v>80.16</v>
      </c>
      <c r="AB50" s="8"/>
      <c r="AC50" s="8"/>
      <c r="AD50" s="9"/>
      <c r="AE50" s="17" t="s">
        <v>88</v>
      </c>
      <c r="AF50" s="70">
        <f>10*2.1*0.95</f>
        <v>19.95</v>
      </c>
      <c r="AG50" s="8">
        <v>189.4</v>
      </c>
      <c r="AH50" s="8">
        <v>2.64</v>
      </c>
      <c r="AI50" s="77">
        <f>AG50*AH50-AF50-AF51</f>
        <v>473.1</v>
      </c>
      <c r="AJ50" s="31">
        <f>Y49*13</f>
        <v>3294.59</v>
      </c>
      <c r="AK50" s="30" t="s">
        <v>7</v>
      </c>
      <c r="AZ50" s="2"/>
      <c r="BA50" s="2"/>
    </row>
    <row r="51" spans="1:60" ht="17.25" customHeight="1">
      <c r="A51" s="17" t="s">
        <v>114</v>
      </c>
      <c r="B51" s="18">
        <f>2.1*1.35</f>
        <v>2.84</v>
      </c>
      <c r="C51" s="8"/>
      <c r="D51" s="8"/>
      <c r="E51" s="9"/>
      <c r="F51" s="17" t="s">
        <v>99</v>
      </c>
      <c r="G51" s="18">
        <f>1.585*1.78</f>
        <v>2.82</v>
      </c>
      <c r="H51" s="8"/>
      <c r="I51" s="8"/>
      <c r="J51" s="19"/>
      <c r="K51" s="17" t="s">
        <v>115</v>
      </c>
      <c r="L51" s="18">
        <f>2.35*1.25</f>
        <v>2.94</v>
      </c>
      <c r="M51" s="8"/>
      <c r="N51" s="8"/>
      <c r="O51" s="19"/>
      <c r="P51" s="17"/>
      <c r="Q51" s="18"/>
      <c r="R51" s="8"/>
      <c r="S51" s="8"/>
      <c r="T51" s="9"/>
      <c r="U51" s="20" t="s">
        <v>118</v>
      </c>
      <c r="V51" s="18">
        <f>1.585*0.74</f>
        <v>1.17</v>
      </c>
      <c r="W51" s="8"/>
      <c r="X51" s="8"/>
      <c r="Y51" s="9"/>
      <c r="Z51" s="17" t="s">
        <v>96</v>
      </c>
      <c r="AA51" s="18">
        <f>13*2.05*0.75</f>
        <v>19.989999999999998</v>
      </c>
      <c r="AB51" s="8"/>
      <c r="AC51" s="8"/>
      <c r="AD51" s="9"/>
      <c r="AE51" s="17" t="s">
        <v>97</v>
      </c>
      <c r="AF51" s="70">
        <f>4*2.05*0.85</f>
        <v>6.97</v>
      </c>
      <c r="AG51" s="43"/>
      <c r="AH51" s="43"/>
      <c r="AI51" s="44"/>
      <c r="AJ51" s="31">
        <f>AD49*13</f>
        <v>14933.49</v>
      </c>
      <c r="AK51" s="30" t="s">
        <v>7</v>
      </c>
      <c r="AZ51" s="2"/>
      <c r="BA51" s="2"/>
    </row>
    <row r="52" spans="1:60" ht="15.75">
      <c r="A52" s="235" t="s">
        <v>303</v>
      </c>
      <c r="B52" s="236"/>
      <c r="C52" s="236"/>
      <c r="D52" s="236"/>
      <c r="E52" s="237"/>
      <c r="F52" s="17" t="s">
        <v>100</v>
      </c>
      <c r="G52" s="18">
        <f>(1.17+0.97)*2.1</f>
        <v>4.49</v>
      </c>
      <c r="H52" s="8"/>
      <c r="I52" s="8"/>
      <c r="J52" s="19"/>
      <c r="K52" s="17"/>
      <c r="L52" s="18"/>
      <c r="M52" s="8"/>
      <c r="N52" s="8"/>
      <c r="O52" s="19"/>
      <c r="P52" s="17"/>
      <c r="Q52" s="18"/>
      <c r="R52" s="8"/>
      <c r="S52" s="8"/>
      <c r="T52" s="15"/>
      <c r="U52" s="235" t="s">
        <v>303</v>
      </c>
      <c r="V52" s="236"/>
      <c r="W52" s="236"/>
      <c r="X52" s="236"/>
      <c r="Y52" s="237"/>
      <c r="Z52" s="17" t="s">
        <v>101</v>
      </c>
      <c r="AA52" s="18">
        <f>12*2.05*1.4</f>
        <v>34.44</v>
      </c>
      <c r="AB52" s="8"/>
      <c r="AC52" s="8"/>
      <c r="AD52" s="9"/>
      <c r="AE52" s="235" t="s">
        <v>304</v>
      </c>
      <c r="AF52" s="236"/>
      <c r="AG52" s="236"/>
      <c r="AH52" s="236"/>
      <c r="AI52" s="237"/>
      <c r="AJ52" s="27"/>
      <c r="AY52" s="16"/>
      <c r="AZ52" s="21"/>
      <c r="BA52" s="2"/>
    </row>
    <row r="53" spans="1:60" ht="15.75">
      <c r="A53" s="17"/>
      <c r="B53" s="70">
        <f>B49-B55</f>
        <v>22.79</v>
      </c>
      <c r="C53" s="8">
        <f>C49-C55</f>
        <v>46.56</v>
      </c>
      <c r="D53" s="8">
        <v>2.64</v>
      </c>
      <c r="E53" s="69">
        <f>C53*D53-B53</f>
        <v>100.1284</v>
      </c>
      <c r="F53" s="17" t="s">
        <v>92</v>
      </c>
      <c r="G53" s="18">
        <f>2.1*1.2</f>
        <v>2.52</v>
      </c>
      <c r="H53" s="8"/>
      <c r="I53" s="8"/>
      <c r="J53" s="75"/>
      <c r="K53" s="17"/>
      <c r="L53" s="18"/>
      <c r="M53" s="8"/>
      <c r="N53" s="8"/>
      <c r="O53" s="14"/>
      <c r="P53" s="17"/>
      <c r="Q53" s="18"/>
      <c r="R53" s="8"/>
      <c r="S53" s="8"/>
      <c r="T53" s="9"/>
      <c r="U53" s="17"/>
      <c r="V53" s="70"/>
      <c r="W53" s="8">
        <v>38.43</v>
      </c>
      <c r="X53" s="8">
        <v>2.64</v>
      </c>
      <c r="Y53" s="71">
        <f>W53*X53-V53</f>
        <v>101.46</v>
      </c>
      <c r="Z53" s="17" t="s">
        <v>117</v>
      </c>
      <c r="AA53" s="18">
        <f>4*2.05*0.8</f>
        <v>6.56</v>
      </c>
      <c r="AB53" s="8"/>
      <c r="AC53" s="8"/>
      <c r="AD53" s="9"/>
      <c r="AE53" s="17"/>
      <c r="AF53" s="70">
        <f>AA49-AF50-AF51-AF55</f>
        <v>142.91999999999999</v>
      </c>
      <c r="AG53" s="8">
        <f>AB49-AG50-AG55</f>
        <v>265.60000000000002</v>
      </c>
      <c r="AH53" s="8">
        <v>2.64</v>
      </c>
      <c r="AI53" s="77">
        <f>(AG53*AH53)-AF53</f>
        <v>558.26</v>
      </c>
      <c r="AJ53" s="27"/>
      <c r="AY53" s="16"/>
      <c r="AZ53" s="21"/>
      <c r="BA53" s="2"/>
    </row>
    <row r="54" spans="1:60" ht="15.75">
      <c r="A54" s="235" t="s">
        <v>304</v>
      </c>
      <c r="B54" s="236"/>
      <c r="C54" s="236"/>
      <c r="D54" s="236"/>
      <c r="E54" s="237"/>
      <c r="F54" s="235" t="s">
        <v>303</v>
      </c>
      <c r="G54" s="236"/>
      <c r="H54" s="236"/>
      <c r="I54" s="236"/>
      <c r="J54" s="237"/>
      <c r="K54" s="17"/>
      <c r="L54" s="18"/>
      <c r="M54" s="8"/>
      <c r="N54" s="8"/>
      <c r="O54" s="14"/>
      <c r="P54" s="17"/>
      <c r="Q54" s="18"/>
      <c r="R54" s="8"/>
      <c r="S54" s="8"/>
      <c r="T54" s="9"/>
      <c r="U54" s="235" t="s">
        <v>304</v>
      </c>
      <c r="V54" s="236"/>
      <c r="W54" s="236"/>
      <c r="X54" s="236"/>
      <c r="Y54" s="237"/>
      <c r="Z54" s="17" t="s">
        <v>88</v>
      </c>
      <c r="AA54" s="18">
        <f>12*2.1*0.95</f>
        <v>23.94</v>
      </c>
      <c r="AB54" s="8"/>
      <c r="AC54" s="8"/>
      <c r="AD54" s="9"/>
      <c r="AE54" s="235" t="s">
        <v>305</v>
      </c>
      <c r="AF54" s="236"/>
      <c r="AG54" s="236"/>
      <c r="AH54" s="236"/>
      <c r="AI54" s="237"/>
      <c r="AJ54" s="27"/>
      <c r="AZ54" s="2"/>
      <c r="BA54" s="2"/>
    </row>
    <row r="55" spans="1:60" ht="16.5" thickBot="1">
      <c r="A55" s="17" t="s">
        <v>88</v>
      </c>
      <c r="B55" s="70">
        <f>2*2.1*0.95</f>
        <v>3.99</v>
      </c>
      <c r="C55" s="8">
        <v>9.94</v>
      </c>
      <c r="D55" s="8">
        <v>2.64</v>
      </c>
      <c r="E55" s="69">
        <f>C55*D55-B55</f>
        <v>22.2516</v>
      </c>
      <c r="F55" s="17"/>
      <c r="G55" s="70">
        <f>G49-G59</f>
        <v>9.85</v>
      </c>
      <c r="H55" s="8">
        <f>H49-H57-H59</f>
        <v>10.39</v>
      </c>
      <c r="I55" s="8">
        <v>2.64</v>
      </c>
      <c r="J55" s="71">
        <f>H55*I55-G55</f>
        <v>17.579999999999998</v>
      </c>
      <c r="K55" s="72"/>
      <c r="L55" s="18"/>
      <c r="M55" s="8"/>
      <c r="N55" s="8"/>
      <c r="O55" s="19"/>
      <c r="P55" s="17"/>
      <c r="Q55" s="18"/>
      <c r="R55" s="8"/>
      <c r="S55" s="8"/>
      <c r="T55" s="9"/>
      <c r="U55" s="17"/>
      <c r="V55" s="70">
        <f>V49</f>
        <v>21.16</v>
      </c>
      <c r="W55" s="8">
        <f>W49-W53</f>
        <v>65.58</v>
      </c>
      <c r="X55" s="8">
        <v>2.64</v>
      </c>
      <c r="Y55" s="71">
        <f>(W55*X55)-V55</f>
        <v>151.97</v>
      </c>
      <c r="Z55" s="17" t="s">
        <v>106</v>
      </c>
      <c r="AA55" s="18">
        <f>4*1.585*1.52</f>
        <v>9.64</v>
      </c>
      <c r="AB55" s="8"/>
      <c r="AC55" s="8"/>
      <c r="AD55" s="9"/>
      <c r="AE55" s="32"/>
      <c r="AF55" s="76">
        <f>AA58+AA57+AA56+AA55</f>
        <v>71.92</v>
      </c>
      <c r="AG55" s="34">
        <v>71.7</v>
      </c>
      <c r="AH55" s="34">
        <v>2.64</v>
      </c>
      <c r="AI55" s="78">
        <f>(AG55*AH55)-AF55</f>
        <v>117.37</v>
      </c>
      <c r="AJ55" s="27"/>
      <c r="AZ55" s="2"/>
      <c r="BA55" s="2"/>
    </row>
    <row r="56" spans="1:60" ht="15.75">
      <c r="A56" s="17"/>
      <c r="B56" s="18"/>
      <c r="C56" s="8"/>
      <c r="D56" s="8"/>
      <c r="E56" s="9"/>
      <c r="F56" s="235" t="s">
        <v>304</v>
      </c>
      <c r="G56" s="236"/>
      <c r="H56" s="236"/>
      <c r="I56" s="236"/>
      <c r="J56" s="237"/>
      <c r="K56" s="17"/>
      <c r="L56" s="18"/>
      <c r="M56" s="8"/>
      <c r="N56" s="8"/>
      <c r="O56" s="19"/>
      <c r="P56" s="17"/>
      <c r="Q56" s="18"/>
      <c r="R56" s="8"/>
      <c r="S56" s="8"/>
      <c r="T56" s="9"/>
      <c r="U56" s="20"/>
      <c r="V56" s="18"/>
      <c r="W56" s="8"/>
      <c r="X56" s="8"/>
      <c r="Y56" s="9"/>
      <c r="Z56" s="17" t="s">
        <v>99</v>
      </c>
      <c r="AA56" s="18">
        <f>10*1.585*1.78</f>
        <v>28.21</v>
      </c>
      <c r="AB56" s="8"/>
      <c r="AC56" s="8"/>
      <c r="AD56" s="9"/>
    </row>
    <row r="57" spans="1:60" ht="15.75" customHeight="1">
      <c r="A57" s="60"/>
      <c r="B57" s="61"/>
      <c r="C57" s="61"/>
      <c r="D57" s="61"/>
      <c r="E57" s="62"/>
      <c r="F57" s="17"/>
      <c r="G57" s="70"/>
      <c r="H57" s="8">
        <v>7.94</v>
      </c>
      <c r="I57" s="8">
        <v>2.64</v>
      </c>
      <c r="J57" s="71">
        <f>H57*I57-G57</f>
        <v>20.96</v>
      </c>
      <c r="K57" s="72"/>
      <c r="L57" s="18"/>
      <c r="M57" s="8"/>
      <c r="N57" s="8"/>
      <c r="O57" s="19"/>
      <c r="P57" s="17"/>
      <c r="Q57" s="18"/>
      <c r="R57" s="8"/>
      <c r="S57" s="8"/>
      <c r="T57" s="9"/>
      <c r="U57" s="20"/>
      <c r="V57" s="18"/>
      <c r="W57" s="8"/>
      <c r="X57" s="8"/>
      <c r="Y57" s="81"/>
      <c r="Z57" s="17" t="s">
        <v>111</v>
      </c>
      <c r="AA57" s="18">
        <f>6*2.354*0.88+6*1.635*0.51</f>
        <v>17.43</v>
      </c>
      <c r="AB57" s="8"/>
      <c r="AC57" s="8"/>
      <c r="AD57" s="9"/>
      <c r="AI57" s="31"/>
    </row>
    <row r="58" spans="1:60" ht="18.75" customHeight="1">
      <c r="A58" s="247" t="s">
        <v>116</v>
      </c>
      <c r="B58" s="248"/>
      <c r="C58" s="248"/>
      <c r="D58" s="248"/>
      <c r="E58" s="249"/>
      <c r="F58" s="235" t="s">
        <v>305</v>
      </c>
      <c r="G58" s="236"/>
      <c r="H58" s="236"/>
      <c r="I58" s="236"/>
      <c r="J58" s="237"/>
      <c r="K58" s="17"/>
      <c r="L58" s="18"/>
      <c r="M58" s="8"/>
      <c r="N58" s="8"/>
      <c r="O58" s="19"/>
      <c r="P58" s="17"/>
      <c r="Q58" s="18"/>
      <c r="R58" s="8"/>
      <c r="S58" s="8"/>
      <c r="T58" s="9"/>
      <c r="U58" s="20"/>
      <c r="V58" s="18"/>
      <c r="W58" s="8"/>
      <c r="X58" s="8"/>
      <c r="Y58" s="9"/>
      <c r="Z58" s="17" t="s">
        <v>112</v>
      </c>
      <c r="AA58" s="18">
        <f>6*2.35*1.18</f>
        <v>16.64</v>
      </c>
      <c r="AB58" s="8"/>
      <c r="AC58" s="8"/>
      <c r="AD58" s="9"/>
    </row>
    <row r="59" spans="1:60" ht="18.75" customHeight="1" thickBot="1">
      <c r="A59" s="253"/>
      <c r="B59" s="254"/>
      <c r="C59" s="254"/>
      <c r="D59" s="254"/>
      <c r="E59" s="255"/>
      <c r="F59" s="17" t="s">
        <v>99</v>
      </c>
      <c r="G59" s="18">
        <f>1.585*1.78</f>
        <v>2.82</v>
      </c>
      <c r="H59" s="8">
        <v>2.41</v>
      </c>
      <c r="I59" s="8">
        <v>2.64</v>
      </c>
      <c r="J59" s="71">
        <f>H59*I59-G59</f>
        <v>3.54</v>
      </c>
      <c r="K59" s="65"/>
      <c r="L59" s="57"/>
      <c r="M59" s="58"/>
      <c r="N59" s="58"/>
      <c r="O59" s="64"/>
      <c r="P59" s="65"/>
      <c r="Q59" s="57"/>
      <c r="R59" s="58"/>
      <c r="S59" s="58"/>
      <c r="T59" s="59"/>
      <c r="U59" s="63"/>
      <c r="V59" s="57"/>
      <c r="W59" s="58"/>
      <c r="X59" s="58"/>
      <c r="Y59" s="59"/>
      <c r="Z59" s="56" t="s">
        <v>120</v>
      </c>
      <c r="AA59" s="57">
        <f>1.8*2.64</f>
        <v>4.75</v>
      </c>
      <c r="AB59" s="58"/>
      <c r="AC59" s="58"/>
      <c r="AD59" s="35"/>
    </row>
    <row r="60" spans="1:60" ht="21.75" customHeight="1" thickBot="1">
      <c r="B60" s="256" t="s">
        <v>121</v>
      </c>
      <c r="C60" s="256"/>
      <c r="D60" s="256"/>
      <c r="E60" s="256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P60" s="2"/>
      <c r="AQ60" s="2"/>
      <c r="AR60" s="2"/>
      <c r="AS60" s="2"/>
      <c r="AU60" s="2"/>
      <c r="AV60" s="2"/>
      <c r="AW60" s="2"/>
      <c r="AX60" s="2"/>
      <c r="AZ60" s="2"/>
      <c r="BA60" s="2"/>
      <c r="BB60" s="2"/>
      <c r="BC60" s="2"/>
      <c r="BE60" s="2"/>
      <c r="BF60" s="2"/>
      <c r="BG60" s="2"/>
      <c r="BH60" s="2"/>
    </row>
    <row r="61" spans="1:60" ht="36.75" customHeight="1" thickBot="1">
      <c r="A61" s="66"/>
      <c r="B61" s="229" t="s">
        <v>71</v>
      </c>
      <c r="C61" s="230"/>
      <c r="D61" s="230"/>
      <c r="E61" s="231"/>
      <c r="F61" s="66"/>
      <c r="G61" s="229" t="s">
        <v>72</v>
      </c>
      <c r="H61" s="230"/>
      <c r="I61" s="230"/>
      <c r="J61" s="231"/>
      <c r="K61" s="66"/>
      <c r="L61" s="258" t="s">
        <v>75</v>
      </c>
      <c r="M61" s="259"/>
      <c r="N61" s="259"/>
      <c r="O61" s="260"/>
      <c r="P61" s="66"/>
      <c r="Q61" s="258" t="s">
        <v>76</v>
      </c>
      <c r="R61" s="259"/>
      <c r="S61" s="259"/>
      <c r="T61" s="260"/>
      <c r="U61" s="66"/>
      <c r="V61" s="229" t="s">
        <v>81</v>
      </c>
      <c r="W61" s="230"/>
      <c r="X61" s="230"/>
      <c r="Y61" s="231"/>
      <c r="Z61" s="67"/>
      <c r="AA61" s="232" t="s">
        <v>82</v>
      </c>
      <c r="AB61" s="233"/>
      <c r="AC61" s="233"/>
      <c r="AD61" s="234"/>
      <c r="AE61" s="27"/>
      <c r="AJ61" s="27"/>
      <c r="AZ61" s="2"/>
      <c r="BA61" s="2"/>
    </row>
    <row r="62" spans="1:60" ht="33.75" customHeight="1" thickBot="1">
      <c r="A62" s="6"/>
      <c r="B62" s="7" t="s">
        <v>83</v>
      </c>
      <c r="C62" s="8" t="s">
        <v>84</v>
      </c>
      <c r="D62" s="8" t="s">
        <v>85</v>
      </c>
      <c r="E62" s="9" t="s">
        <v>86</v>
      </c>
      <c r="F62" s="6"/>
      <c r="G62" s="7" t="s">
        <v>83</v>
      </c>
      <c r="H62" s="8" t="s">
        <v>84</v>
      </c>
      <c r="I62" s="8" t="s">
        <v>85</v>
      </c>
      <c r="J62" s="9" t="s">
        <v>86</v>
      </c>
      <c r="K62" s="6"/>
      <c r="L62" s="7" t="s">
        <v>83</v>
      </c>
      <c r="M62" s="8" t="s">
        <v>84</v>
      </c>
      <c r="N62" s="8" t="s">
        <v>85</v>
      </c>
      <c r="O62" s="9" t="s">
        <v>86</v>
      </c>
      <c r="P62" s="6"/>
      <c r="Q62" s="7" t="s">
        <v>83</v>
      </c>
      <c r="R62" s="8" t="s">
        <v>84</v>
      </c>
      <c r="S62" s="8" t="s">
        <v>85</v>
      </c>
      <c r="T62" s="9" t="s">
        <v>86</v>
      </c>
      <c r="U62" s="6"/>
      <c r="V62" s="7" t="s">
        <v>83</v>
      </c>
      <c r="W62" s="8" t="s">
        <v>84</v>
      </c>
      <c r="X62" s="8" t="s">
        <v>85</v>
      </c>
      <c r="Y62" s="9" t="s">
        <v>86</v>
      </c>
      <c r="Z62" s="6"/>
      <c r="AA62" s="53" t="s">
        <v>83</v>
      </c>
      <c r="AB62" s="8" t="s">
        <v>84</v>
      </c>
      <c r="AC62" s="8" t="s">
        <v>85</v>
      </c>
      <c r="AD62" s="9" t="s">
        <v>86</v>
      </c>
      <c r="AE62" s="238" t="s">
        <v>82</v>
      </c>
      <c r="AF62" s="239"/>
      <c r="AG62" s="239"/>
      <c r="AH62" s="239"/>
      <c r="AI62" s="240"/>
      <c r="AJ62" s="27"/>
      <c r="AZ62" s="2"/>
      <c r="BA62" s="2"/>
    </row>
    <row r="63" spans="1:60" ht="24.75" customHeight="1">
      <c r="A63" s="11" t="s">
        <v>87</v>
      </c>
      <c r="B63" s="12">
        <f>SUM(B64:B65)</f>
        <v>26.78</v>
      </c>
      <c r="C63" s="8">
        <v>57</v>
      </c>
      <c r="D63" s="8">
        <v>2.84</v>
      </c>
      <c r="E63" s="13">
        <f>C63*D63-B63</f>
        <v>135.1</v>
      </c>
      <c r="F63" s="11" t="s">
        <v>87</v>
      </c>
      <c r="G63" s="12">
        <f>SUM(G64:G67)</f>
        <v>12.67</v>
      </c>
      <c r="H63" s="8">
        <v>20.74</v>
      </c>
      <c r="I63" s="8">
        <v>2.84</v>
      </c>
      <c r="J63" s="14">
        <f>H63*I63-G63</f>
        <v>46.23</v>
      </c>
      <c r="K63" s="11" t="s">
        <v>87</v>
      </c>
      <c r="L63" s="12">
        <f>SUM(L64:L66)</f>
        <v>5.46</v>
      </c>
      <c r="M63" s="8">
        <v>10.72</v>
      </c>
      <c r="N63" s="8">
        <v>2.84</v>
      </c>
      <c r="O63" s="14">
        <f>M63*N63-L63</f>
        <v>24.98</v>
      </c>
      <c r="P63" s="11" t="s">
        <v>87</v>
      </c>
      <c r="Q63" s="12">
        <f>SUM(Q64:Q65)</f>
        <v>4.47</v>
      </c>
      <c r="R63" s="8">
        <v>18.600000000000001</v>
      </c>
      <c r="S63" s="8">
        <v>2.84</v>
      </c>
      <c r="T63" s="28">
        <f>R63*S63-Q63</f>
        <v>48.353999999999999</v>
      </c>
      <c r="U63" s="29" t="s">
        <v>87</v>
      </c>
      <c r="V63" s="12">
        <f>SUM(V64:V65)</f>
        <v>21.16</v>
      </c>
      <c r="W63" s="8">
        <v>104.32</v>
      </c>
      <c r="X63" s="8">
        <v>2.84</v>
      </c>
      <c r="Y63" s="15">
        <f>W63*X63-V63</f>
        <v>275.11</v>
      </c>
      <c r="Z63" s="55" t="s">
        <v>87</v>
      </c>
      <c r="AA63" s="12">
        <f>SUM(AA64:AA73)</f>
        <v>242.12</v>
      </c>
      <c r="AB63" s="8">
        <v>527.1</v>
      </c>
      <c r="AC63" s="8">
        <v>2.84</v>
      </c>
      <c r="AD63" s="15">
        <f>AB63*AC63-AA63</f>
        <v>1254.8399999999999</v>
      </c>
      <c r="AE63" s="241" t="s">
        <v>303</v>
      </c>
      <c r="AF63" s="242"/>
      <c r="AG63" s="242"/>
      <c r="AH63" s="242"/>
      <c r="AI63" s="243"/>
      <c r="AJ63" s="31">
        <f>E63+J63+O63+T63+T66</f>
        <v>303.14</v>
      </c>
      <c r="AK63" s="30" t="s">
        <v>7</v>
      </c>
      <c r="AL63" s="31">
        <f>AJ63+AJ35</f>
        <v>3335.44</v>
      </c>
      <c r="AM63" s="31">
        <v>881.14</v>
      </c>
      <c r="AN63" s="31">
        <f>AL63-AM63</f>
        <v>2454.3000000000002</v>
      </c>
      <c r="AZ63" s="2"/>
      <c r="BA63" s="2"/>
    </row>
    <row r="64" spans="1:60" ht="15.75">
      <c r="A64" s="17" t="s">
        <v>88</v>
      </c>
      <c r="B64" s="18">
        <f>12*2.1*0.95</f>
        <v>23.94</v>
      </c>
      <c r="C64" s="8"/>
      <c r="D64" s="8"/>
      <c r="E64" s="19"/>
      <c r="F64" s="17" t="s">
        <v>114</v>
      </c>
      <c r="G64" s="18">
        <f>2.1*1.35</f>
        <v>2.84</v>
      </c>
      <c r="H64" s="8"/>
      <c r="I64" s="8"/>
      <c r="J64" s="19"/>
      <c r="K64" s="17" t="s">
        <v>92</v>
      </c>
      <c r="L64" s="18">
        <f>2.1*1.2</f>
        <v>2.52</v>
      </c>
      <c r="M64" s="8"/>
      <c r="N64" s="8"/>
      <c r="O64" s="19"/>
      <c r="P64" s="17" t="s">
        <v>109</v>
      </c>
      <c r="Q64" s="18">
        <f>2.35*1.9</f>
        <v>4.47</v>
      </c>
      <c r="R64" s="8"/>
      <c r="S64" s="8"/>
      <c r="T64" s="9"/>
      <c r="U64" s="17" t="s">
        <v>96</v>
      </c>
      <c r="V64" s="18">
        <f>13*2.05*0.75</f>
        <v>19.989999999999998</v>
      </c>
      <c r="W64" s="8"/>
      <c r="X64" s="8"/>
      <c r="Y64" s="9"/>
      <c r="Z64" s="17" t="s">
        <v>97</v>
      </c>
      <c r="AA64" s="18">
        <f>46*2.05*0.85</f>
        <v>80.16</v>
      </c>
      <c r="AB64" s="8"/>
      <c r="AC64" s="8"/>
      <c r="AD64" s="9"/>
      <c r="AE64" s="17" t="s">
        <v>88</v>
      </c>
      <c r="AF64" s="70">
        <f>10*2.1*0.95</f>
        <v>19.95</v>
      </c>
      <c r="AG64" s="8">
        <v>176</v>
      </c>
      <c r="AH64" s="8">
        <v>2.84</v>
      </c>
      <c r="AI64" s="77">
        <f>AG64*AH64-AF64-AF65</f>
        <v>472.92</v>
      </c>
      <c r="AJ64" s="31">
        <f>Y63</f>
        <v>275.11</v>
      </c>
      <c r="AK64" s="30" t="s">
        <v>7</v>
      </c>
      <c r="AL64" s="31">
        <f>AJ64+AJ36</f>
        <v>3580.23</v>
      </c>
      <c r="AM64" s="31"/>
      <c r="AZ64" s="2"/>
      <c r="BA64" s="2"/>
    </row>
    <row r="65" spans="1:55" ht="17.25" customHeight="1">
      <c r="A65" s="17" t="s">
        <v>114</v>
      </c>
      <c r="B65" s="18">
        <f>2.1*1.35</f>
        <v>2.84</v>
      </c>
      <c r="C65" s="8"/>
      <c r="D65" s="8"/>
      <c r="E65" s="19"/>
      <c r="F65" s="17" t="s">
        <v>99</v>
      </c>
      <c r="G65" s="18">
        <f>1.585*1.78</f>
        <v>2.82</v>
      </c>
      <c r="H65" s="8"/>
      <c r="I65" s="8"/>
      <c r="J65" s="19"/>
      <c r="K65" s="17" t="s">
        <v>115</v>
      </c>
      <c r="L65" s="18">
        <f>2.35*1.25</f>
        <v>2.94</v>
      </c>
      <c r="M65" s="8"/>
      <c r="N65" s="8"/>
      <c r="O65" s="19"/>
      <c r="P65" s="235" t="s">
        <v>142</v>
      </c>
      <c r="Q65" s="236"/>
      <c r="R65" s="236"/>
      <c r="S65" s="236"/>
      <c r="T65" s="237"/>
      <c r="U65" s="20" t="s">
        <v>118</v>
      </c>
      <c r="V65" s="18">
        <f>1.585*0.74</f>
        <v>1.17</v>
      </c>
      <c r="W65" s="8"/>
      <c r="X65" s="8"/>
      <c r="Y65" s="9"/>
      <c r="Z65" s="17" t="s">
        <v>96</v>
      </c>
      <c r="AA65" s="18">
        <f>13*2.05*0.75</f>
        <v>19.989999999999998</v>
      </c>
      <c r="AB65" s="8"/>
      <c r="AC65" s="8"/>
      <c r="AD65" s="9"/>
      <c r="AE65" s="17" t="s">
        <v>97</v>
      </c>
      <c r="AF65" s="70">
        <f>4*2.05*0.85</f>
        <v>6.97</v>
      </c>
      <c r="AG65" s="43"/>
      <c r="AH65" s="43"/>
      <c r="AI65" s="44"/>
      <c r="AJ65" s="31">
        <f>AD63</f>
        <v>1254.8399999999999</v>
      </c>
      <c r="AK65" s="30" t="s">
        <v>7</v>
      </c>
      <c r="AL65" s="31">
        <f>AJ65+AJ37</f>
        <v>16201.98</v>
      </c>
      <c r="AZ65" s="2"/>
      <c r="BA65" s="2"/>
    </row>
    <row r="66" spans="1:55" ht="15.75">
      <c r="A66" s="235" t="s">
        <v>303</v>
      </c>
      <c r="B66" s="236"/>
      <c r="C66" s="236"/>
      <c r="D66" s="236"/>
      <c r="E66" s="237"/>
      <c r="F66" s="17" t="s">
        <v>100</v>
      </c>
      <c r="G66" s="18">
        <f>(1.17+0.97)*2.1</f>
        <v>4.49</v>
      </c>
      <c r="H66" s="8"/>
      <c r="I66" s="8"/>
      <c r="J66" s="19"/>
      <c r="K66" s="17"/>
      <c r="L66" s="18"/>
      <c r="M66" s="8"/>
      <c r="N66" s="8"/>
      <c r="O66" s="19"/>
      <c r="P66" s="17" t="s">
        <v>143</v>
      </c>
      <c r="Q66" s="18">
        <f>2*1.15</f>
        <v>2.2999999999999998</v>
      </c>
      <c r="R66" s="8">
        <v>18.600000000000001</v>
      </c>
      <c r="S66" s="8">
        <v>2.73</v>
      </c>
      <c r="T66" s="15">
        <f>(S66*R66)-Q66</f>
        <v>48.48</v>
      </c>
      <c r="U66" s="235" t="s">
        <v>303</v>
      </c>
      <c r="V66" s="236"/>
      <c r="W66" s="236"/>
      <c r="X66" s="236"/>
      <c r="Y66" s="237"/>
      <c r="Z66" s="17" t="s">
        <v>101</v>
      </c>
      <c r="AA66" s="18">
        <f>12*2.05*1.4</f>
        <v>34.44</v>
      </c>
      <c r="AB66" s="8"/>
      <c r="AC66" s="8"/>
      <c r="AD66" s="9"/>
      <c r="AE66" s="235" t="s">
        <v>304</v>
      </c>
      <c r="AF66" s="236"/>
      <c r="AG66" s="236"/>
      <c r="AH66" s="236"/>
      <c r="AI66" s="237"/>
      <c r="AJ66" s="27"/>
      <c r="AY66" s="16"/>
      <c r="AZ66" s="21"/>
      <c r="BA66" s="2"/>
    </row>
    <row r="67" spans="1:55" ht="15.75">
      <c r="A67" s="17"/>
      <c r="B67" s="70">
        <f>B63-B69</f>
        <v>22.79</v>
      </c>
      <c r="C67" s="8">
        <f>C63-C69</f>
        <v>47.06</v>
      </c>
      <c r="D67" s="8">
        <v>2.84</v>
      </c>
      <c r="E67" s="69">
        <f>C67*D67-B67</f>
        <v>110.8604</v>
      </c>
      <c r="F67" s="17" t="s">
        <v>92</v>
      </c>
      <c r="G67" s="18">
        <f>2.1*1.2</f>
        <v>2.52</v>
      </c>
      <c r="H67" s="8"/>
      <c r="I67" s="8"/>
      <c r="J67" s="75"/>
      <c r="K67" s="17"/>
      <c r="L67" s="18"/>
      <c r="M67" s="8"/>
      <c r="N67" s="8"/>
      <c r="O67" s="14"/>
      <c r="P67" s="17"/>
      <c r="Q67" s="18"/>
      <c r="R67" s="8"/>
      <c r="S67" s="8"/>
      <c r="T67" s="9"/>
      <c r="U67" s="17"/>
      <c r="V67" s="70"/>
      <c r="W67" s="8">
        <v>33.1</v>
      </c>
      <c r="X67" s="8">
        <v>2.84</v>
      </c>
      <c r="Y67" s="71">
        <f>W67*X67-V67</f>
        <v>94</v>
      </c>
      <c r="Z67" s="17" t="s">
        <v>117</v>
      </c>
      <c r="AA67" s="18">
        <f>4*2.05*0.8</f>
        <v>6.56</v>
      </c>
      <c r="AB67" s="8"/>
      <c r="AC67" s="8"/>
      <c r="AD67" s="9"/>
      <c r="AE67" s="17"/>
      <c r="AF67" s="70">
        <f>AA63-AF64-AF65-AF69</f>
        <v>143.28</v>
      </c>
      <c r="AG67" s="8">
        <f>AB63-AG64-AG69</f>
        <v>279.5</v>
      </c>
      <c r="AH67" s="8">
        <v>2.84</v>
      </c>
      <c r="AI67" s="77">
        <f>(AG67*AH67)-AF67</f>
        <v>650.5</v>
      </c>
      <c r="AJ67" s="27"/>
      <c r="AY67" s="16"/>
      <c r="AZ67" s="21"/>
      <c r="BA67" s="2"/>
    </row>
    <row r="68" spans="1:55" ht="15.75">
      <c r="A68" s="235" t="s">
        <v>304</v>
      </c>
      <c r="B68" s="236"/>
      <c r="C68" s="236"/>
      <c r="D68" s="236"/>
      <c r="E68" s="237"/>
      <c r="F68" s="235" t="s">
        <v>303</v>
      </c>
      <c r="G68" s="236"/>
      <c r="H68" s="236"/>
      <c r="I68" s="236"/>
      <c r="J68" s="237"/>
      <c r="K68" s="17"/>
      <c r="L68" s="18"/>
      <c r="M68" s="8"/>
      <c r="N68" s="8"/>
      <c r="O68" s="14"/>
      <c r="P68" s="17"/>
      <c r="Q68" s="18"/>
      <c r="R68" s="8"/>
      <c r="S68" s="8"/>
      <c r="T68" s="9"/>
      <c r="U68" s="235" t="s">
        <v>304</v>
      </c>
      <c r="V68" s="236"/>
      <c r="W68" s="236"/>
      <c r="X68" s="236"/>
      <c r="Y68" s="237"/>
      <c r="Z68" s="17" t="s">
        <v>88</v>
      </c>
      <c r="AA68" s="18">
        <f>12*2.1*0.95</f>
        <v>23.94</v>
      </c>
      <c r="AB68" s="8"/>
      <c r="AC68" s="8"/>
      <c r="AD68" s="9"/>
      <c r="AE68" s="235" t="s">
        <v>305</v>
      </c>
      <c r="AF68" s="236"/>
      <c r="AG68" s="236"/>
      <c r="AH68" s="236"/>
      <c r="AI68" s="237"/>
      <c r="AJ68" s="27"/>
      <c r="AZ68" s="2"/>
      <c r="BA68" s="2"/>
    </row>
    <row r="69" spans="1:55" ht="16.5" thickBot="1">
      <c r="A69" s="17" t="s">
        <v>88</v>
      </c>
      <c r="B69" s="70">
        <f>2*2.1*0.95</f>
        <v>3.99</v>
      </c>
      <c r="C69" s="8">
        <v>9.94</v>
      </c>
      <c r="D69" s="8">
        <v>2.84</v>
      </c>
      <c r="E69" s="69">
        <f>C69*D69-B69</f>
        <v>24.239599999999999</v>
      </c>
      <c r="F69" s="17"/>
      <c r="G69" s="70">
        <f>G63-G73</f>
        <v>9.85</v>
      </c>
      <c r="H69" s="8">
        <f>H63-H71-H73</f>
        <v>10.39</v>
      </c>
      <c r="I69" s="8">
        <v>2.84</v>
      </c>
      <c r="J69" s="71">
        <f>H69*I69-G69</f>
        <v>19.66</v>
      </c>
      <c r="K69" s="72"/>
      <c r="L69" s="18"/>
      <c r="M69" s="8"/>
      <c r="N69" s="8"/>
      <c r="O69" s="19"/>
      <c r="P69" s="17"/>
      <c r="Q69" s="18"/>
      <c r="R69" s="8"/>
      <c r="S69" s="8"/>
      <c r="T69" s="9"/>
      <c r="U69" s="17"/>
      <c r="V69" s="70">
        <f>V63</f>
        <v>21.16</v>
      </c>
      <c r="W69" s="8">
        <f>W63-W67</f>
        <v>71.22</v>
      </c>
      <c r="X69" s="8">
        <v>2.84</v>
      </c>
      <c r="Y69" s="71">
        <f>(W69*X69)-V69</f>
        <v>181.1</v>
      </c>
      <c r="Z69" s="17" t="s">
        <v>106</v>
      </c>
      <c r="AA69" s="18">
        <f>4*1.585*1.52</f>
        <v>9.64</v>
      </c>
      <c r="AB69" s="8"/>
      <c r="AC69" s="8"/>
      <c r="AD69" s="9"/>
      <c r="AE69" s="32"/>
      <c r="AF69" s="76">
        <f>AA72+AA71+AA70+AA69</f>
        <v>71.92</v>
      </c>
      <c r="AG69" s="34">
        <v>71.599999999999994</v>
      </c>
      <c r="AH69" s="34">
        <v>2.84</v>
      </c>
      <c r="AI69" s="78">
        <f>(AG69*AH69)-AF69</f>
        <v>131.41999999999999</v>
      </c>
      <c r="AJ69" s="27"/>
      <c r="AZ69" s="2"/>
      <c r="BA69" s="2"/>
    </row>
    <row r="70" spans="1:55" ht="15.75">
      <c r="A70" s="17"/>
      <c r="B70" s="18"/>
      <c r="C70" s="8"/>
      <c r="D70" s="8"/>
      <c r="E70" s="19"/>
      <c r="F70" s="235" t="s">
        <v>304</v>
      </c>
      <c r="G70" s="236"/>
      <c r="H70" s="236"/>
      <c r="I70" s="236"/>
      <c r="J70" s="237"/>
      <c r="K70" s="17"/>
      <c r="L70" s="18"/>
      <c r="M70" s="8"/>
      <c r="N70" s="8"/>
      <c r="O70" s="19"/>
      <c r="P70" s="17"/>
      <c r="Q70" s="18"/>
      <c r="R70" s="8"/>
      <c r="S70" s="8"/>
      <c r="T70" s="9"/>
      <c r="U70" s="20"/>
      <c r="V70" s="18"/>
      <c r="W70" s="8"/>
      <c r="X70" s="8"/>
      <c r="Y70" s="9"/>
      <c r="Z70" s="17" t="s">
        <v>99</v>
      </c>
      <c r="AA70" s="18">
        <f>10*1.585*1.78</f>
        <v>28.21</v>
      </c>
      <c r="AB70" s="8"/>
      <c r="AC70" s="8"/>
      <c r="AD70" s="9"/>
    </row>
    <row r="71" spans="1:55" ht="15.75" customHeight="1">
      <c r="A71" s="247" t="s">
        <v>116</v>
      </c>
      <c r="B71" s="248"/>
      <c r="C71" s="248"/>
      <c r="D71" s="248"/>
      <c r="E71" s="249"/>
      <c r="F71" s="17"/>
      <c r="G71" s="70"/>
      <c r="H71" s="8">
        <v>7.94</v>
      </c>
      <c r="I71" s="8">
        <v>2.84</v>
      </c>
      <c r="J71" s="71">
        <f>H71*I71-G71</f>
        <v>22.55</v>
      </c>
      <c r="K71" s="72"/>
      <c r="L71" s="18"/>
      <c r="M71" s="8"/>
      <c r="N71" s="8"/>
      <c r="O71" s="19"/>
      <c r="P71" s="17"/>
      <c r="Q71" s="18"/>
      <c r="R71" s="8"/>
      <c r="S71" s="8"/>
      <c r="T71" s="9"/>
      <c r="U71" s="20"/>
      <c r="V71" s="18"/>
      <c r="W71" s="8"/>
      <c r="X71" s="8"/>
      <c r="Y71" s="81"/>
      <c r="Z71" s="17" t="s">
        <v>111</v>
      </c>
      <c r="AA71" s="18">
        <f>6*2.354*0.88+6*1.635*0.51</f>
        <v>17.43</v>
      </c>
      <c r="AB71" s="8"/>
      <c r="AC71" s="8"/>
      <c r="AD71" s="9"/>
      <c r="AE71" s="82" t="s">
        <v>330</v>
      </c>
      <c r="AF71" s="27">
        <f>14*(4*(1.585*2+1.52)+10*(1.585*2+1.78)+6*(2.354*2+0.88)+6*(1.635*2+0.51)+6*(2.35*2+1.18))</f>
        <v>2236.4720000000002</v>
      </c>
      <c r="AG71" s="83" t="s">
        <v>331</v>
      </c>
      <c r="AI71" s="31"/>
    </row>
    <row r="72" spans="1:55" ht="15.75">
      <c r="A72" s="250"/>
      <c r="B72" s="251"/>
      <c r="C72" s="251"/>
      <c r="D72" s="251"/>
      <c r="E72" s="252"/>
      <c r="F72" s="235" t="s">
        <v>305</v>
      </c>
      <c r="G72" s="236"/>
      <c r="H72" s="236"/>
      <c r="I72" s="236"/>
      <c r="J72" s="237"/>
      <c r="K72" s="17"/>
      <c r="L72" s="18"/>
      <c r="M72" s="8"/>
      <c r="N72" s="8"/>
      <c r="O72" s="19"/>
      <c r="P72" s="17"/>
      <c r="Q72" s="18"/>
      <c r="R72" s="8"/>
      <c r="S72" s="8"/>
      <c r="T72" s="9"/>
      <c r="U72" s="20"/>
      <c r="V72" s="18"/>
      <c r="W72" s="8"/>
      <c r="X72" s="8"/>
      <c r="Y72" s="9"/>
      <c r="Z72" s="17" t="s">
        <v>112</v>
      </c>
      <c r="AA72" s="18">
        <f>6*2.35*1.18</f>
        <v>16.64</v>
      </c>
      <c r="AB72" s="8"/>
      <c r="AC72" s="8"/>
      <c r="AD72" s="9"/>
      <c r="AE72" s="82" t="s">
        <v>333</v>
      </c>
      <c r="AF72" s="27">
        <f>14*(12*(2.1*2+0.95))</f>
        <v>865.2</v>
      </c>
      <c r="AG72" s="83" t="s">
        <v>331</v>
      </c>
    </row>
    <row r="73" spans="1:55" ht="16.5" thickBot="1">
      <c r="A73" s="32"/>
      <c r="B73" s="33"/>
      <c r="C73" s="34"/>
      <c r="D73" s="34"/>
      <c r="E73" s="35"/>
      <c r="F73" s="17" t="s">
        <v>99</v>
      </c>
      <c r="G73" s="18">
        <f>1.585*1.78</f>
        <v>2.82</v>
      </c>
      <c r="H73" s="8">
        <v>2.41</v>
      </c>
      <c r="I73" s="8">
        <v>2.84</v>
      </c>
      <c r="J73" s="71">
        <f>H73*I73-G73</f>
        <v>4.0199999999999996</v>
      </c>
      <c r="K73" s="17"/>
      <c r="L73" s="18"/>
      <c r="M73" s="8"/>
      <c r="N73" s="8"/>
      <c r="O73" s="19"/>
      <c r="P73" s="17"/>
      <c r="Q73" s="18"/>
      <c r="R73" s="8"/>
      <c r="S73" s="8"/>
      <c r="T73" s="9"/>
      <c r="U73" s="20"/>
      <c r="V73" s="18"/>
      <c r="W73" s="8"/>
      <c r="X73" s="8"/>
      <c r="Y73" s="9"/>
      <c r="Z73" s="56" t="s">
        <v>120</v>
      </c>
      <c r="AA73" s="57">
        <f>1.8*2.84</f>
        <v>5.1100000000000003</v>
      </c>
      <c r="AB73" s="58"/>
      <c r="AC73" s="58"/>
      <c r="AD73" s="59"/>
    </row>
    <row r="74" spans="1:55" ht="21.75" customHeight="1" thickBot="1">
      <c r="B74" s="257" t="s">
        <v>122</v>
      </c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7"/>
      <c r="AK74" s="2"/>
      <c r="AL74" s="2"/>
      <c r="AM74" s="2"/>
      <c r="AN74" s="2"/>
      <c r="AP74" s="2"/>
      <c r="AQ74" s="2"/>
      <c r="AR74" s="2"/>
      <c r="AS74" s="2"/>
      <c r="AZ74" s="2"/>
      <c r="BA74" s="2"/>
      <c r="BB74" s="2"/>
      <c r="BC74" s="2"/>
    </row>
    <row r="75" spans="1:55" ht="36.75" customHeight="1" thickBot="1">
      <c r="A75" s="68"/>
      <c r="B75" s="229" t="s">
        <v>71</v>
      </c>
      <c r="C75" s="230"/>
      <c r="D75" s="230"/>
      <c r="E75" s="231"/>
      <c r="F75" s="66"/>
      <c r="G75" s="229" t="s">
        <v>72</v>
      </c>
      <c r="H75" s="230"/>
      <c r="I75" s="230"/>
      <c r="J75" s="231"/>
      <c r="K75" s="66"/>
      <c r="L75" s="258" t="s">
        <v>75</v>
      </c>
      <c r="M75" s="259"/>
      <c r="N75" s="259"/>
      <c r="O75" s="260"/>
      <c r="P75" s="66"/>
      <c r="Q75" s="258" t="s">
        <v>76</v>
      </c>
      <c r="R75" s="259"/>
      <c r="S75" s="259"/>
      <c r="T75" s="260"/>
      <c r="U75" s="66"/>
      <c r="V75" s="229" t="s">
        <v>81</v>
      </c>
      <c r="W75" s="230"/>
      <c r="X75" s="230"/>
      <c r="Y75" s="231"/>
      <c r="Z75" s="67"/>
      <c r="AA75" s="232" t="s">
        <v>82</v>
      </c>
      <c r="AB75" s="233"/>
      <c r="AC75" s="233"/>
      <c r="AD75" s="234"/>
      <c r="AE75" s="27"/>
      <c r="AJ75" s="27"/>
      <c r="AZ75" s="2"/>
      <c r="BA75" s="2"/>
    </row>
    <row r="76" spans="1:55" ht="33.75" customHeight="1" thickBot="1">
      <c r="A76" s="6"/>
      <c r="B76" s="7" t="s">
        <v>83</v>
      </c>
      <c r="C76" s="8" t="s">
        <v>84</v>
      </c>
      <c r="D76" s="8" t="s">
        <v>85</v>
      </c>
      <c r="E76" s="9" t="s">
        <v>86</v>
      </c>
      <c r="F76" s="6"/>
      <c r="G76" s="7" t="s">
        <v>83</v>
      </c>
      <c r="H76" s="8" t="s">
        <v>84</v>
      </c>
      <c r="I76" s="8" t="s">
        <v>85</v>
      </c>
      <c r="J76" s="9" t="s">
        <v>86</v>
      </c>
      <c r="K76" s="6"/>
      <c r="L76" s="7" t="s">
        <v>83</v>
      </c>
      <c r="M76" s="8" t="s">
        <v>84</v>
      </c>
      <c r="N76" s="8" t="s">
        <v>85</v>
      </c>
      <c r="O76" s="9" t="s">
        <v>86</v>
      </c>
      <c r="P76" s="6"/>
      <c r="Q76" s="7" t="s">
        <v>83</v>
      </c>
      <c r="R76" s="8" t="s">
        <v>84</v>
      </c>
      <c r="S76" s="8" t="s">
        <v>85</v>
      </c>
      <c r="T76" s="9" t="s">
        <v>86</v>
      </c>
      <c r="U76" s="6"/>
      <c r="V76" s="7" t="s">
        <v>83</v>
      </c>
      <c r="W76" s="8" t="s">
        <v>84</v>
      </c>
      <c r="X76" s="8" t="s">
        <v>85</v>
      </c>
      <c r="Y76" s="9" t="s">
        <v>86</v>
      </c>
      <c r="Z76" s="6"/>
      <c r="AA76" s="53" t="s">
        <v>83</v>
      </c>
      <c r="AB76" s="8" t="s">
        <v>84</v>
      </c>
      <c r="AC76" s="8" t="s">
        <v>85</v>
      </c>
      <c r="AD76" s="9" t="s">
        <v>86</v>
      </c>
      <c r="AE76" s="238" t="s">
        <v>82</v>
      </c>
      <c r="AF76" s="239"/>
      <c r="AG76" s="239"/>
      <c r="AH76" s="239"/>
      <c r="AI76" s="240"/>
      <c r="AJ76" s="27"/>
      <c r="AZ76" s="2"/>
      <c r="BA76" s="2"/>
    </row>
    <row r="77" spans="1:55" ht="24.75" customHeight="1">
      <c r="A77" s="11" t="s">
        <v>87</v>
      </c>
      <c r="B77" s="12">
        <f>SUM(B78:B79)</f>
        <v>26.78</v>
      </c>
      <c r="C77" s="8">
        <v>56.5</v>
      </c>
      <c r="D77" s="8">
        <v>2.84</v>
      </c>
      <c r="E77" s="28">
        <f>C77*D77-B77</f>
        <v>133.68</v>
      </c>
      <c r="F77" s="29" t="s">
        <v>87</v>
      </c>
      <c r="G77" s="12">
        <f>SUM(G78:G81)</f>
        <v>12.67</v>
      </c>
      <c r="H77" s="8">
        <v>20.74</v>
      </c>
      <c r="I77" s="8">
        <v>2.84</v>
      </c>
      <c r="J77" s="14">
        <f>H77*I77-G77</f>
        <v>46.23</v>
      </c>
      <c r="K77" s="11" t="s">
        <v>87</v>
      </c>
      <c r="L77" s="12">
        <f>SUM(L78:L80)</f>
        <v>5.46</v>
      </c>
      <c r="M77" s="8">
        <v>10.72</v>
      </c>
      <c r="N77" s="8">
        <v>2.84</v>
      </c>
      <c r="O77" s="14">
        <f>M77*N77-L77</f>
        <v>24.98</v>
      </c>
      <c r="P77" s="11" t="s">
        <v>87</v>
      </c>
      <c r="Q77" s="12">
        <f>SUM(Q78:Q79)</f>
        <v>4.47</v>
      </c>
      <c r="R77" s="8">
        <v>18.600000000000001</v>
      </c>
      <c r="S77" s="8">
        <v>2.84</v>
      </c>
      <c r="T77" s="28">
        <f>R77*S77-Q77</f>
        <v>48.353999999999999</v>
      </c>
      <c r="U77" s="29" t="s">
        <v>87</v>
      </c>
      <c r="V77" s="12">
        <f>SUM(V78:V79)</f>
        <v>21.16</v>
      </c>
      <c r="W77" s="8">
        <v>104.01</v>
      </c>
      <c r="X77" s="8">
        <v>2.84</v>
      </c>
      <c r="Y77" s="15">
        <f>W77*X77-V77</f>
        <v>274.23</v>
      </c>
      <c r="Z77" s="55" t="s">
        <v>87</v>
      </c>
      <c r="AA77" s="12">
        <f>SUM(AA78:AA87)</f>
        <v>242.12</v>
      </c>
      <c r="AB77" s="8">
        <v>526.70000000000005</v>
      </c>
      <c r="AC77" s="8">
        <v>2.84</v>
      </c>
      <c r="AD77" s="15">
        <f>AB77*AC77-AA77</f>
        <v>1253.71</v>
      </c>
      <c r="AE77" s="241" t="s">
        <v>303</v>
      </c>
      <c r="AF77" s="242"/>
      <c r="AG77" s="242"/>
      <c r="AH77" s="242"/>
      <c r="AI77" s="243"/>
      <c r="AJ77" s="31">
        <f>E77+J77+O77+T77+T80</f>
        <v>301.72000000000003</v>
      </c>
      <c r="AK77" s="30" t="s">
        <v>7</v>
      </c>
      <c r="AL77" s="31">
        <f>AJ77+AJ49</f>
        <v>3316.86</v>
      </c>
      <c r="AM77" s="31">
        <v>881.14</v>
      </c>
      <c r="AN77" s="31">
        <f>AL77-AM77</f>
        <v>2435.7199999999998</v>
      </c>
      <c r="AZ77" s="2"/>
      <c r="BA77" s="2"/>
    </row>
    <row r="78" spans="1:55" ht="15.75">
      <c r="A78" s="17" t="s">
        <v>88</v>
      </c>
      <c r="B78" s="18">
        <f>12*2.1*0.95</f>
        <v>23.94</v>
      </c>
      <c r="C78" s="8"/>
      <c r="D78" s="8"/>
      <c r="E78" s="9"/>
      <c r="F78" s="17" t="s">
        <v>114</v>
      </c>
      <c r="G78" s="18">
        <f>2.1*1.35</f>
        <v>2.84</v>
      </c>
      <c r="H78" s="8"/>
      <c r="I78" s="8"/>
      <c r="J78" s="19"/>
      <c r="K78" s="17" t="s">
        <v>92</v>
      </c>
      <c r="L78" s="18">
        <f>2.1*1.2</f>
        <v>2.52</v>
      </c>
      <c r="M78" s="8"/>
      <c r="N78" s="8"/>
      <c r="O78" s="19"/>
      <c r="P78" s="17" t="s">
        <v>109</v>
      </c>
      <c r="Q78" s="18">
        <f>2.35*1.9</f>
        <v>4.47</v>
      </c>
      <c r="R78" s="8"/>
      <c r="S78" s="8"/>
      <c r="T78" s="9"/>
      <c r="U78" s="17" t="s">
        <v>96</v>
      </c>
      <c r="V78" s="18">
        <f>13*2.05*0.75</f>
        <v>19.989999999999998</v>
      </c>
      <c r="W78" s="8"/>
      <c r="X78" s="8"/>
      <c r="Y78" s="9"/>
      <c r="Z78" s="17" t="s">
        <v>97</v>
      </c>
      <c r="AA78" s="18">
        <f>46*2.05*0.85</f>
        <v>80.16</v>
      </c>
      <c r="AB78" s="8"/>
      <c r="AC78" s="8"/>
      <c r="AD78" s="9"/>
      <c r="AE78" s="17" t="s">
        <v>88</v>
      </c>
      <c r="AF78" s="70">
        <f>10*2.1*0.95</f>
        <v>19.95</v>
      </c>
      <c r="AG78" s="8">
        <v>189.4</v>
      </c>
      <c r="AH78" s="8">
        <v>2.84</v>
      </c>
      <c r="AI78" s="77">
        <f>AG78*AH78-AF78-AF79</f>
        <v>510.98</v>
      </c>
      <c r="AJ78" s="31">
        <f>Y77</f>
        <v>274.23</v>
      </c>
      <c r="AK78" s="30" t="s">
        <v>7</v>
      </c>
      <c r="AL78" s="31">
        <f>AJ78+AJ50</f>
        <v>3568.82</v>
      </c>
      <c r="AM78" s="31"/>
      <c r="AZ78" s="2"/>
      <c r="BA78" s="2"/>
    </row>
    <row r="79" spans="1:55" ht="17.25" customHeight="1">
      <c r="A79" s="17" t="s">
        <v>114</v>
      </c>
      <c r="B79" s="18">
        <f>2.1*1.35</f>
        <v>2.84</v>
      </c>
      <c r="C79" s="8"/>
      <c r="D79" s="8"/>
      <c r="E79" s="9"/>
      <c r="F79" s="17" t="s">
        <v>99</v>
      </c>
      <c r="G79" s="18">
        <f>1.585*1.78</f>
        <v>2.82</v>
      </c>
      <c r="H79" s="8"/>
      <c r="I79" s="8"/>
      <c r="J79" s="19"/>
      <c r="K79" s="17" t="s">
        <v>115</v>
      </c>
      <c r="L79" s="18">
        <f>2.35*1.25</f>
        <v>2.94</v>
      </c>
      <c r="M79" s="8"/>
      <c r="N79" s="8"/>
      <c r="O79" s="19"/>
      <c r="P79" s="235" t="s">
        <v>142</v>
      </c>
      <c r="Q79" s="236"/>
      <c r="R79" s="236"/>
      <c r="S79" s="236"/>
      <c r="T79" s="237"/>
      <c r="U79" s="20" t="s">
        <v>118</v>
      </c>
      <c r="V79" s="18">
        <f>1.585*0.74</f>
        <v>1.17</v>
      </c>
      <c r="W79" s="8"/>
      <c r="X79" s="8"/>
      <c r="Y79" s="9"/>
      <c r="Z79" s="17" t="s">
        <v>96</v>
      </c>
      <c r="AA79" s="18">
        <f>13*2.05*0.75</f>
        <v>19.989999999999998</v>
      </c>
      <c r="AB79" s="8"/>
      <c r="AC79" s="8"/>
      <c r="AD79" s="9"/>
      <c r="AE79" s="17" t="s">
        <v>97</v>
      </c>
      <c r="AF79" s="70">
        <f>4*2.05*0.85</f>
        <v>6.97</v>
      </c>
      <c r="AG79" s="43"/>
      <c r="AH79" s="43"/>
      <c r="AI79" s="44"/>
      <c r="AJ79" s="31">
        <f>AD77</f>
        <v>1253.71</v>
      </c>
      <c r="AK79" s="30" t="s">
        <v>7</v>
      </c>
      <c r="AL79" s="31">
        <f>AJ79+AJ51</f>
        <v>16187.2</v>
      </c>
      <c r="AZ79" s="2"/>
      <c r="BA79" s="2"/>
    </row>
    <row r="80" spans="1:55" ht="15.75">
      <c r="A80" s="235" t="s">
        <v>303</v>
      </c>
      <c r="B80" s="236"/>
      <c r="C80" s="236"/>
      <c r="D80" s="236"/>
      <c r="E80" s="237"/>
      <c r="F80" s="17" t="s">
        <v>100</v>
      </c>
      <c r="G80" s="18">
        <f>(1.17+0.97)*2.1</f>
        <v>4.49</v>
      </c>
      <c r="H80" s="8"/>
      <c r="I80" s="8"/>
      <c r="J80" s="75"/>
      <c r="K80" s="17"/>
      <c r="L80" s="18"/>
      <c r="M80" s="8"/>
      <c r="N80" s="8"/>
      <c r="O80" s="19"/>
      <c r="P80" s="17" t="s">
        <v>143</v>
      </c>
      <c r="Q80" s="18">
        <f>2*1.15</f>
        <v>2.2999999999999998</v>
      </c>
      <c r="R80" s="8">
        <v>18.600000000000001</v>
      </c>
      <c r="S80" s="8">
        <v>2.73</v>
      </c>
      <c r="T80" s="15">
        <f>(S80*R80)-Q80</f>
        <v>48.48</v>
      </c>
      <c r="U80" s="235" t="s">
        <v>303</v>
      </c>
      <c r="V80" s="236"/>
      <c r="W80" s="236"/>
      <c r="X80" s="236"/>
      <c r="Y80" s="237"/>
      <c r="Z80" s="17" t="s">
        <v>101</v>
      </c>
      <c r="AA80" s="18">
        <f>12*2.05*1.4</f>
        <v>34.44</v>
      </c>
      <c r="AB80" s="8"/>
      <c r="AC80" s="8"/>
      <c r="AD80" s="9"/>
      <c r="AE80" s="235" t="s">
        <v>304</v>
      </c>
      <c r="AF80" s="236"/>
      <c r="AG80" s="236"/>
      <c r="AH80" s="236"/>
      <c r="AI80" s="237"/>
      <c r="AJ80" s="27"/>
      <c r="AY80" s="16"/>
      <c r="AZ80" s="21"/>
      <c r="BA80" s="2"/>
    </row>
    <row r="81" spans="1:53" ht="15.75">
      <c r="A81" s="17"/>
      <c r="B81" s="70">
        <f>B77-B83</f>
        <v>22.79</v>
      </c>
      <c r="C81" s="8">
        <f>C77-C83</f>
        <v>46.56</v>
      </c>
      <c r="D81" s="8">
        <v>2.84</v>
      </c>
      <c r="E81" s="69">
        <f>C81*D81-B81</f>
        <v>109.4404</v>
      </c>
      <c r="F81" s="17" t="s">
        <v>92</v>
      </c>
      <c r="G81" s="18">
        <f>2.1*1.2</f>
        <v>2.52</v>
      </c>
      <c r="H81" s="8"/>
      <c r="I81" s="8"/>
      <c r="J81" s="75"/>
      <c r="K81" s="17"/>
      <c r="L81" s="18"/>
      <c r="M81" s="8"/>
      <c r="N81" s="8"/>
      <c r="O81" s="14"/>
      <c r="P81" s="17"/>
      <c r="Q81" s="18"/>
      <c r="R81" s="8"/>
      <c r="S81" s="8"/>
      <c r="T81" s="9"/>
      <c r="U81" s="17"/>
      <c r="V81" s="70"/>
      <c r="W81" s="8">
        <v>38.43</v>
      </c>
      <c r="X81" s="8">
        <v>2.84</v>
      </c>
      <c r="Y81" s="71">
        <f>W81*X81-V81</f>
        <v>109.14</v>
      </c>
      <c r="Z81" s="17" t="s">
        <v>117</v>
      </c>
      <c r="AA81" s="18">
        <f>4*2.05*0.8</f>
        <v>6.56</v>
      </c>
      <c r="AB81" s="8"/>
      <c r="AC81" s="8"/>
      <c r="AD81" s="9"/>
      <c r="AE81" s="17"/>
      <c r="AF81" s="70">
        <f>AA77-AF78-AF79-AF83</f>
        <v>143.28</v>
      </c>
      <c r="AG81" s="8">
        <f>AB77-AG78-AG83</f>
        <v>265.60000000000002</v>
      </c>
      <c r="AH81" s="8">
        <v>2.84</v>
      </c>
      <c r="AI81" s="77">
        <f>(AG81*AH81)-AF81</f>
        <v>611.02</v>
      </c>
      <c r="AJ81" s="27"/>
      <c r="AY81" s="16"/>
      <c r="AZ81" s="21"/>
      <c r="BA81" s="2"/>
    </row>
    <row r="82" spans="1:53" ht="15.75">
      <c r="A82" s="235" t="s">
        <v>304</v>
      </c>
      <c r="B82" s="236"/>
      <c r="C82" s="236"/>
      <c r="D82" s="236"/>
      <c r="E82" s="237"/>
      <c r="F82" s="235" t="s">
        <v>303</v>
      </c>
      <c r="G82" s="236"/>
      <c r="H82" s="236"/>
      <c r="I82" s="236"/>
      <c r="J82" s="237"/>
      <c r="K82" s="17"/>
      <c r="L82" s="18"/>
      <c r="M82" s="8"/>
      <c r="N82" s="8"/>
      <c r="O82" s="14"/>
      <c r="P82" s="17"/>
      <c r="Q82" s="18"/>
      <c r="R82" s="8"/>
      <c r="S82" s="8"/>
      <c r="T82" s="9"/>
      <c r="U82" s="235" t="s">
        <v>304</v>
      </c>
      <c r="V82" s="236"/>
      <c r="W82" s="236"/>
      <c r="X82" s="236"/>
      <c r="Y82" s="237"/>
      <c r="Z82" s="17" t="s">
        <v>88</v>
      </c>
      <c r="AA82" s="18">
        <f>12*2.1*0.95</f>
        <v>23.94</v>
      </c>
      <c r="AB82" s="8"/>
      <c r="AC82" s="8"/>
      <c r="AD82" s="9"/>
      <c r="AE82" s="235" t="s">
        <v>305</v>
      </c>
      <c r="AF82" s="236"/>
      <c r="AG82" s="236"/>
      <c r="AH82" s="236"/>
      <c r="AI82" s="237"/>
      <c r="AJ82" s="27"/>
      <c r="AZ82" s="2"/>
      <c r="BA82" s="2"/>
    </row>
    <row r="83" spans="1:53" ht="16.5" thickBot="1">
      <c r="A83" s="17" t="s">
        <v>88</v>
      </c>
      <c r="B83" s="70">
        <f>2*2.1*0.95</f>
        <v>3.99</v>
      </c>
      <c r="C83" s="8">
        <v>9.94</v>
      </c>
      <c r="D83" s="8">
        <v>2.84</v>
      </c>
      <c r="E83" s="69">
        <f>C83*D83-B83</f>
        <v>24.239599999999999</v>
      </c>
      <c r="F83" s="17"/>
      <c r="G83" s="70">
        <f>G77-G87</f>
        <v>9.85</v>
      </c>
      <c r="H83" s="8">
        <f>H77-H85-H87</f>
        <v>10.39</v>
      </c>
      <c r="I83" s="8">
        <v>2.84</v>
      </c>
      <c r="J83" s="71">
        <f>H83*I83-G83</f>
        <v>19.66</v>
      </c>
      <c r="K83" s="72"/>
      <c r="L83" s="18"/>
      <c r="M83" s="8"/>
      <c r="N83" s="8"/>
      <c r="O83" s="19"/>
      <c r="P83" s="17"/>
      <c r="Q83" s="18"/>
      <c r="R83" s="8"/>
      <c r="S83" s="8"/>
      <c r="T83" s="9"/>
      <c r="U83" s="17"/>
      <c r="V83" s="70">
        <f>V77</f>
        <v>21.16</v>
      </c>
      <c r="W83" s="8">
        <f>W77-W81</f>
        <v>65.58</v>
      </c>
      <c r="X83" s="8">
        <v>2.84</v>
      </c>
      <c r="Y83" s="71">
        <f>(W83*X83)-V83</f>
        <v>165.09</v>
      </c>
      <c r="Z83" s="17" t="s">
        <v>106</v>
      </c>
      <c r="AA83" s="18">
        <f>4*1.585*1.52</f>
        <v>9.64</v>
      </c>
      <c r="AB83" s="8"/>
      <c r="AC83" s="8"/>
      <c r="AD83" s="9"/>
      <c r="AE83" s="32"/>
      <c r="AF83" s="76">
        <f>AA86+AA85+AA84+AA83</f>
        <v>71.92</v>
      </c>
      <c r="AG83" s="34">
        <v>71.7</v>
      </c>
      <c r="AH83" s="34">
        <v>2.84</v>
      </c>
      <c r="AI83" s="78">
        <f>(AG83*AH83)-AF83</f>
        <v>131.71</v>
      </c>
      <c r="AJ83" s="27"/>
      <c r="AZ83" s="2"/>
      <c r="BA83" s="2"/>
    </row>
    <row r="84" spans="1:53" ht="15.75">
      <c r="A84" s="17"/>
      <c r="B84" s="18"/>
      <c r="C84" s="8"/>
      <c r="D84" s="8"/>
      <c r="E84" s="9"/>
      <c r="F84" s="235" t="s">
        <v>304</v>
      </c>
      <c r="G84" s="236"/>
      <c r="H84" s="236"/>
      <c r="I84" s="236"/>
      <c r="J84" s="237"/>
      <c r="K84" s="72"/>
      <c r="L84" s="18"/>
      <c r="M84" s="8"/>
      <c r="N84" s="8"/>
      <c r="O84" s="19"/>
      <c r="P84" s="17"/>
      <c r="Q84" s="18"/>
      <c r="R84" s="8"/>
      <c r="S84" s="8"/>
      <c r="T84" s="9"/>
      <c r="U84" s="20"/>
      <c r="V84" s="18"/>
      <c r="W84" s="8"/>
      <c r="X84" s="8"/>
      <c r="Y84" s="9"/>
      <c r="Z84" s="17" t="s">
        <v>99</v>
      </c>
      <c r="AA84" s="18">
        <f>10*1.585*1.78</f>
        <v>28.21</v>
      </c>
      <c r="AB84" s="8"/>
      <c r="AC84" s="8"/>
      <c r="AD84" s="9"/>
    </row>
    <row r="85" spans="1:53" ht="15.75" customHeight="1">
      <c r="A85" s="60"/>
      <c r="B85" s="61"/>
      <c r="C85" s="61"/>
      <c r="D85" s="61"/>
      <c r="E85" s="62"/>
      <c r="F85" s="17"/>
      <c r="G85" s="70"/>
      <c r="H85" s="8">
        <v>7.94</v>
      </c>
      <c r="I85" s="8">
        <v>2.84</v>
      </c>
      <c r="J85" s="71">
        <f>H85*I85-G85</f>
        <v>22.55</v>
      </c>
      <c r="K85" s="72"/>
      <c r="L85" s="18"/>
      <c r="M85" s="8"/>
      <c r="N85" s="8"/>
      <c r="O85" s="19"/>
      <c r="P85" s="17"/>
      <c r="Q85" s="18"/>
      <c r="R85" s="8"/>
      <c r="S85" s="8"/>
      <c r="T85" s="9"/>
      <c r="U85" s="20"/>
      <c r="V85" s="18"/>
      <c r="W85" s="8"/>
      <c r="X85" s="8"/>
      <c r="Y85" s="9"/>
      <c r="Z85" s="17" t="s">
        <v>111</v>
      </c>
      <c r="AA85" s="18">
        <f>6*2.354*0.88+6*1.635*0.51</f>
        <v>17.43</v>
      </c>
      <c r="AB85" s="8"/>
      <c r="AC85" s="8"/>
      <c r="AD85" s="9"/>
      <c r="AE85" s="82" t="s">
        <v>330</v>
      </c>
      <c r="AF85" s="27">
        <f>14*(4*(1.585*2+1.52)+10*(1.585*2+1.78)+6*(2.354*2+0.88)+6*(1.635*2+0.51)+6*(2.35*2+1.18))</f>
        <v>2236.4720000000002</v>
      </c>
      <c r="AG85" s="83" t="s">
        <v>331</v>
      </c>
      <c r="AI85" s="31"/>
    </row>
    <row r="86" spans="1:53" ht="18.75" customHeight="1">
      <c r="A86" s="247" t="s">
        <v>116</v>
      </c>
      <c r="B86" s="248"/>
      <c r="C86" s="248"/>
      <c r="D86" s="248"/>
      <c r="E86" s="249"/>
      <c r="F86" s="235" t="s">
        <v>305</v>
      </c>
      <c r="G86" s="236"/>
      <c r="H86" s="236"/>
      <c r="I86" s="236"/>
      <c r="J86" s="237"/>
      <c r="K86" s="17"/>
      <c r="L86" s="18"/>
      <c r="M86" s="8"/>
      <c r="N86" s="8"/>
      <c r="O86" s="19"/>
      <c r="P86" s="17"/>
      <c r="Q86" s="18"/>
      <c r="R86" s="8"/>
      <c r="S86" s="8"/>
      <c r="T86" s="9"/>
      <c r="U86" s="20"/>
      <c r="V86" s="18"/>
      <c r="W86" s="8"/>
      <c r="X86" s="8"/>
      <c r="Y86" s="9"/>
      <c r="Z86" s="17" t="s">
        <v>112</v>
      </c>
      <c r="AA86" s="18">
        <f>6*2.35*1.18</f>
        <v>16.64</v>
      </c>
      <c r="AB86" s="8"/>
      <c r="AC86" s="8"/>
      <c r="AD86" s="9"/>
    </row>
    <row r="87" spans="1:53" ht="18.75" customHeight="1" thickBot="1">
      <c r="A87" s="253"/>
      <c r="B87" s="254"/>
      <c r="C87" s="254"/>
      <c r="D87" s="254"/>
      <c r="E87" s="255"/>
      <c r="F87" s="17" t="s">
        <v>99</v>
      </c>
      <c r="G87" s="18">
        <f>1.585*1.78</f>
        <v>2.82</v>
      </c>
      <c r="H87" s="8">
        <v>2.41</v>
      </c>
      <c r="I87" s="8">
        <v>2.84</v>
      </c>
      <c r="J87" s="71">
        <f>H87*I87-G87</f>
        <v>4.0199999999999996</v>
      </c>
      <c r="K87" s="65"/>
      <c r="L87" s="57"/>
      <c r="M87" s="58"/>
      <c r="N87" s="58"/>
      <c r="O87" s="64"/>
      <c r="P87" s="65"/>
      <c r="Q87" s="57"/>
      <c r="R87" s="58"/>
      <c r="S87" s="58"/>
      <c r="T87" s="59"/>
      <c r="U87" s="63"/>
      <c r="V87" s="57"/>
      <c r="W87" s="58"/>
      <c r="X87" s="58"/>
      <c r="Y87" s="59"/>
      <c r="Z87" s="56" t="s">
        <v>120</v>
      </c>
      <c r="AA87" s="57">
        <f>1.8*2.84</f>
        <v>5.1100000000000003</v>
      </c>
      <c r="AB87" s="58"/>
      <c r="AC87" s="58"/>
      <c r="AD87" s="35"/>
    </row>
  </sheetData>
  <mergeCells count="126">
    <mergeCell ref="F84:J84"/>
    <mergeCell ref="F86:J86"/>
    <mergeCell ref="A82:E82"/>
    <mergeCell ref="F68:J68"/>
    <mergeCell ref="F70:J70"/>
    <mergeCell ref="F72:J72"/>
    <mergeCell ref="F82:J82"/>
    <mergeCell ref="F56:J56"/>
    <mergeCell ref="F58:J58"/>
    <mergeCell ref="A66:E66"/>
    <mergeCell ref="A68:E68"/>
    <mergeCell ref="A80:E80"/>
    <mergeCell ref="A86:E87"/>
    <mergeCell ref="B74:AD74"/>
    <mergeCell ref="B75:E75"/>
    <mergeCell ref="G75:J75"/>
    <mergeCell ref="L75:O75"/>
    <mergeCell ref="Q75:T75"/>
    <mergeCell ref="V75:Y75"/>
    <mergeCell ref="AA75:AD75"/>
    <mergeCell ref="P79:T79"/>
    <mergeCell ref="P65:T65"/>
    <mergeCell ref="U66:Y66"/>
    <mergeCell ref="Q61:T61"/>
    <mergeCell ref="A38:E38"/>
    <mergeCell ref="A40:E40"/>
    <mergeCell ref="F40:J40"/>
    <mergeCell ref="F42:J42"/>
    <mergeCell ref="F44:J44"/>
    <mergeCell ref="Z26:AD26"/>
    <mergeCell ref="A26:E26"/>
    <mergeCell ref="A30:E31"/>
    <mergeCell ref="B32:AD32"/>
    <mergeCell ref="B33:E33"/>
    <mergeCell ref="G33:J33"/>
    <mergeCell ref="L33:O33"/>
    <mergeCell ref="Q33:T33"/>
    <mergeCell ref="V33:Y33"/>
    <mergeCell ref="AA33:AD33"/>
    <mergeCell ref="BD15:BH15"/>
    <mergeCell ref="BD18:BH18"/>
    <mergeCell ref="BD20:BH20"/>
    <mergeCell ref="AJ21:AN21"/>
    <mergeCell ref="AJ24:AN24"/>
    <mergeCell ref="AJ26:AN26"/>
    <mergeCell ref="AJ20:AN20"/>
    <mergeCell ref="F25:J25"/>
    <mergeCell ref="F27:J27"/>
    <mergeCell ref="B1:BH1"/>
    <mergeCell ref="B18:AI18"/>
    <mergeCell ref="AE7:AI7"/>
    <mergeCell ref="AE9:AI9"/>
    <mergeCell ref="AE12:AI12"/>
    <mergeCell ref="AY7:BC7"/>
    <mergeCell ref="AY9:BC9"/>
    <mergeCell ref="Z24:AD24"/>
    <mergeCell ref="AF19:AI19"/>
    <mergeCell ref="B19:E19"/>
    <mergeCell ref="G19:J19"/>
    <mergeCell ref="L19:O19"/>
    <mergeCell ref="Q19:T19"/>
    <mergeCell ref="V19:Y19"/>
    <mergeCell ref="AA19:AD19"/>
    <mergeCell ref="AK2:AN2"/>
    <mergeCell ref="AP2:AS2"/>
    <mergeCell ref="AU2:AX2"/>
    <mergeCell ref="AZ2:BC2"/>
    <mergeCell ref="BE2:BH2"/>
    <mergeCell ref="A16:E17"/>
    <mergeCell ref="B2:E2"/>
    <mergeCell ref="G2:J2"/>
    <mergeCell ref="L2:O2"/>
    <mergeCell ref="A8:E8"/>
    <mergeCell ref="A10:E10"/>
    <mergeCell ref="F8:J8"/>
    <mergeCell ref="F10:J10"/>
    <mergeCell ref="K11:O11"/>
    <mergeCell ref="K13:O13"/>
    <mergeCell ref="K16:O16"/>
    <mergeCell ref="A24:E24"/>
    <mergeCell ref="A71:E72"/>
    <mergeCell ref="A58:E59"/>
    <mergeCell ref="B60:AD60"/>
    <mergeCell ref="B61:E61"/>
    <mergeCell ref="G61:J61"/>
    <mergeCell ref="L61:O61"/>
    <mergeCell ref="A52:E52"/>
    <mergeCell ref="A54:E54"/>
    <mergeCell ref="A43:E44"/>
    <mergeCell ref="B46:AD46"/>
    <mergeCell ref="B47:E47"/>
    <mergeCell ref="G47:J47"/>
    <mergeCell ref="L47:O47"/>
    <mergeCell ref="Q47:T47"/>
    <mergeCell ref="V47:Y47"/>
    <mergeCell ref="AA47:AD47"/>
    <mergeCell ref="F54:J54"/>
    <mergeCell ref="Q2:T2"/>
    <mergeCell ref="V2:Y2"/>
    <mergeCell ref="AA2:AD2"/>
    <mergeCell ref="AF2:AI2"/>
    <mergeCell ref="U38:Y38"/>
    <mergeCell ref="U40:Y40"/>
    <mergeCell ref="U52:Y52"/>
    <mergeCell ref="U54:Y54"/>
    <mergeCell ref="V61:Y61"/>
    <mergeCell ref="AA61:AD61"/>
    <mergeCell ref="U68:Y68"/>
    <mergeCell ref="U80:Y80"/>
    <mergeCell ref="U82:Y82"/>
    <mergeCell ref="AE34:AI34"/>
    <mergeCell ref="AE35:AI35"/>
    <mergeCell ref="AE38:AI38"/>
    <mergeCell ref="AE40:AI40"/>
    <mergeCell ref="AE48:AI48"/>
    <mergeCell ref="AE49:AI49"/>
    <mergeCell ref="AE52:AI52"/>
    <mergeCell ref="AE54:AI54"/>
    <mergeCell ref="AE62:AI62"/>
    <mergeCell ref="AE63:AI63"/>
    <mergeCell ref="AE66:AI66"/>
    <mergeCell ref="AE68:AI68"/>
    <mergeCell ref="AE76:AI76"/>
    <mergeCell ref="AE77:AI77"/>
    <mergeCell ref="AE80:AI80"/>
    <mergeCell ref="AE82:AI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 27</vt:lpstr>
      <vt:lpstr>Расчет</vt:lpstr>
      <vt:lpstr>'КП 27'!Заголовки_для_печати</vt:lpstr>
      <vt:lpstr>'КП 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2022-04-20T06:26:39Z</cp:lastPrinted>
  <dcterms:created xsi:type="dcterms:W3CDTF">2018-03-06T07:49:28Z</dcterms:created>
  <dcterms:modified xsi:type="dcterms:W3CDTF">2022-04-22T06:20:29Z</dcterms:modified>
</cp:coreProperties>
</file>