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735" windowHeight="13905"/>
  </bookViews>
  <sheets>
    <sheet name="ЖД ПАРГОЛОВО" sheetId="5" r:id="rId1"/>
    <sheet name="Лист3" sheetId="3" r:id="rId2"/>
  </sheets>
  <definedNames>
    <definedName name="_xlnm.Print_Titles" localSheetId="0">'ЖД ПАРГОЛОВО'!$5:$6</definedName>
  </definedNames>
  <calcPr calcId="145621"/>
</workbook>
</file>

<file path=xl/calcChain.xml><?xml version="1.0" encoding="utf-8"?>
<calcChain xmlns="http://schemas.openxmlformats.org/spreadsheetml/2006/main">
  <c r="H241" i="5" l="1"/>
  <c r="J299" i="5"/>
  <c r="I291" i="5"/>
  <c r="H291" i="5"/>
  <c r="I288" i="5"/>
  <c r="I287" i="5"/>
  <c r="H288" i="5"/>
  <c r="H287" i="5"/>
  <c r="I281" i="5"/>
  <c r="I282" i="5"/>
  <c r="H281" i="5"/>
  <c r="H282" i="5"/>
  <c r="I273" i="5"/>
  <c r="H273" i="5"/>
  <c r="J272" i="5"/>
  <c r="J270" i="5"/>
  <c r="H58" i="5"/>
  <c r="I31" i="5"/>
  <c r="H31" i="5"/>
  <c r="H32" i="5"/>
  <c r="H33" i="5"/>
  <c r="H34" i="5"/>
  <c r="H35" i="5"/>
  <c r="J304" i="5" l="1"/>
  <c r="J302" i="5"/>
  <c r="I197" i="5"/>
  <c r="I199" i="5"/>
  <c r="I200" i="5"/>
  <c r="H197" i="5"/>
  <c r="H199" i="5"/>
  <c r="H200" i="5"/>
  <c r="J198" i="5"/>
  <c r="D99" i="5" l="1"/>
  <c r="D286" i="5"/>
  <c r="D288" i="5"/>
  <c r="D139" i="5"/>
  <c r="D135" i="5"/>
  <c r="D96" i="5"/>
  <c r="D285" i="5"/>
  <c r="D284" i="5" s="1"/>
  <c r="D95" i="5"/>
  <c r="I91" i="5"/>
  <c r="H91" i="5"/>
  <c r="D268" i="5"/>
  <c r="D279" i="5"/>
  <c r="D144" i="5"/>
  <c r="H271" i="5"/>
  <c r="I271" i="5"/>
  <c r="D90" i="5"/>
  <c r="D89" i="5" s="1"/>
  <c r="D267" i="5"/>
  <c r="D278" i="5"/>
  <c r="D196" i="5" l="1"/>
  <c r="D195" i="5"/>
  <c r="D194" i="5" s="1"/>
  <c r="I196" i="5" l="1"/>
  <c r="H196" i="5"/>
  <c r="I277" i="5"/>
  <c r="H277" i="5"/>
  <c r="I267" i="5"/>
  <c r="I268" i="5"/>
  <c r="I269" i="5"/>
  <c r="H267" i="5"/>
  <c r="H268" i="5"/>
  <c r="H269" i="5"/>
  <c r="I283" i="5"/>
  <c r="H283" i="5"/>
  <c r="I297" i="5"/>
  <c r="H297" i="5"/>
  <c r="I296" i="5"/>
  <c r="H296" i="5"/>
  <c r="I170" i="5"/>
  <c r="H170" i="5"/>
  <c r="I76" i="5"/>
  <c r="H76" i="5"/>
  <c r="I65" i="5"/>
  <c r="I66" i="5"/>
  <c r="I67" i="5"/>
  <c r="I68" i="5"/>
  <c r="H65" i="5"/>
  <c r="H66" i="5"/>
  <c r="H67" i="5"/>
  <c r="H68" i="5"/>
  <c r="I63" i="5"/>
  <c r="H63" i="5"/>
  <c r="D211" i="5" l="1"/>
  <c r="D212" i="5"/>
  <c r="D210" i="5" s="1"/>
  <c r="I124" i="5"/>
  <c r="H124" i="5"/>
  <c r="D252" i="5"/>
  <c r="D251" i="5"/>
  <c r="D250" i="5"/>
  <c r="D249" i="5"/>
  <c r="D109" i="5"/>
  <c r="D254" i="5"/>
  <c r="D253" i="5" s="1"/>
  <c r="D231" i="5"/>
  <c r="D230" i="5"/>
  <c r="D228" i="5"/>
  <c r="D227" i="5" s="1"/>
  <c r="D226" i="5"/>
  <c r="D225" i="5" s="1"/>
  <c r="D240" i="5"/>
  <c r="D239" i="5" s="1"/>
  <c r="D237" i="5"/>
  <c r="D236" i="5" s="1"/>
  <c r="D238" i="5"/>
  <c r="D234" i="5"/>
  <c r="D235" i="5"/>
  <c r="D233" i="5"/>
  <c r="D232" i="5" s="1"/>
  <c r="D224" i="5"/>
  <c r="D223" i="5" s="1"/>
  <c r="D222" i="5"/>
  <c r="D221" i="5" s="1"/>
  <c r="D220" i="5"/>
  <c r="D219" i="5" s="1"/>
  <c r="D218" i="5"/>
  <c r="D217" i="5" s="1"/>
  <c r="D216" i="5"/>
  <c r="D215" i="5" s="1"/>
  <c r="D214" i="5"/>
  <c r="D213" i="5" s="1"/>
  <c r="D209" i="5"/>
  <c r="D207" i="5"/>
  <c r="D206" i="5"/>
  <c r="D205" i="5"/>
  <c r="D204" i="5"/>
  <c r="D193" i="5"/>
  <c r="D192" i="5"/>
  <c r="D191" i="5" s="1"/>
  <c r="D167" i="5"/>
  <c r="D185" i="5"/>
  <c r="D184" i="5" s="1"/>
  <c r="D183" i="5"/>
  <c r="D182" i="5" s="1"/>
  <c r="D178" i="5"/>
  <c r="D181" i="5"/>
  <c r="D177" i="5"/>
  <c r="D180" i="5"/>
  <c r="D176" i="5"/>
  <c r="D174" i="5"/>
  <c r="I174" i="5" s="1"/>
  <c r="I169" i="5"/>
  <c r="I171" i="5"/>
  <c r="I172" i="5"/>
  <c r="H169" i="5"/>
  <c r="H171" i="5"/>
  <c r="H172" i="5"/>
  <c r="D98" i="5"/>
  <c r="D173" i="5"/>
  <c r="J173" i="5" s="1"/>
  <c r="H174" i="5" l="1"/>
  <c r="D229" i="5"/>
  <c r="D203" i="5"/>
  <c r="H177" i="5"/>
  <c r="I177" i="5"/>
  <c r="I109" i="5"/>
  <c r="H109" i="5"/>
  <c r="I252" i="5"/>
  <c r="H252" i="5"/>
  <c r="I249" i="5"/>
  <c r="H249" i="5"/>
  <c r="D248" i="5"/>
  <c r="D158" i="5"/>
  <c r="D157" i="5" s="1"/>
  <c r="D156" i="5"/>
  <c r="D155" i="5" s="1"/>
  <c r="D154" i="5"/>
  <c r="D153" i="5"/>
  <c r="D152" i="5"/>
  <c r="D151" i="5"/>
  <c r="D150" i="5" s="1"/>
  <c r="I136" i="5"/>
  <c r="H136" i="5"/>
  <c r="D147" i="5"/>
  <c r="D146" i="5"/>
  <c r="D145" i="5"/>
  <c r="D142" i="5"/>
  <c r="D141" i="5"/>
  <c r="D140" i="5"/>
  <c r="D137" i="5"/>
  <c r="D133" i="5"/>
  <c r="D132" i="5"/>
  <c r="D127" i="5"/>
  <c r="D130" i="5"/>
  <c r="D129" i="5"/>
  <c r="D128" i="5"/>
  <c r="D123" i="5"/>
  <c r="D121" i="5"/>
  <c r="D120" i="5"/>
  <c r="D119" i="5"/>
  <c r="D118" i="5"/>
  <c r="D117" i="5"/>
  <c r="D115" i="5"/>
  <c r="D114" i="5" s="1"/>
  <c r="D113" i="5"/>
  <c r="D112" i="5"/>
  <c r="D111" i="5"/>
  <c r="D108" i="5"/>
  <c r="D106" i="5"/>
  <c r="D105" i="5"/>
  <c r="D101" i="5"/>
  <c r="D100" i="5" s="1"/>
  <c r="I98" i="5"/>
  <c r="H98" i="5"/>
  <c r="D97" i="5"/>
  <c r="D94" i="5"/>
  <c r="D86" i="5"/>
  <c r="I86" i="5" s="1"/>
  <c r="D84" i="5"/>
  <c r="D83" i="5" s="1"/>
  <c r="D82" i="5"/>
  <c r="D81" i="5" s="1"/>
  <c r="D110" i="5" l="1"/>
  <c r="D116" i="5"/>
  <c r="D126" i="5"/>
  <c r="D131" i="5"/>
  <c r="D104" i="5"/>
  <c r="D62" i="5"/>
  <c r="D61" i="5"/>
  <c r="D60" i="5"/>
  <c r="D59" i="5"/>
  <c r="I58" i="5"/>
  <c r="D56" i="5"/>
  <c r="D55" i="5"/>
  <c r="D74" i="5"/>
  <c r="D73" i="5" s="1"/>
  <c r="D72" i="5"/>
  <c r="H72" i="5" s="1"/>
  <c r="D71" i="5"/>
  <c r="I38" i="5"/>
  <c r="I34" i="5"/>
  <c r="D54" i="5" l="1"/>
  <c r="D70" i="5"/>
  <c r="I212" i="5"/>
  <c r="I211" i="5"/>
  <c r="H212" i="5"/>
  <c r="H211" i="5"/>
  <c r="J210" i="5"/>
  <c r="J163" i="5" l="1"/>
  <c r="J161" i="5"/>
  <c r="J159" i="5"/>
  <c r="J157" i="5"/>
  <c r="J155" i="5"/>
  <c r="J153" i="5"/>
  <c r="J152" i="5"/>
  <c r="J150" i="5"/>
  <c r="I164" i="5"/>
  <c r="I162" i="5"/>
  <c r="I160" i="5"/>
  <c r="I158" i="5"/>
  <c r="I156" i="5"/>
  <c r="I154" i="5"/>
  <c r="H164" i="5"/>
  <c r="H162" i="5"/>
  <c r="H160" i="5"/>
  <c r="H158" i="5"/>
  <c r="H156" i="5"/>
  <c r="H154" i="5"/>
  <c r="I151" i="5"/>
  <c r="H151" i="5"/>
  <c r="I195" i="5"/>
  <c r="H195" i="5"/>
  <c r="H193" i="5"/>
  <c r="H192" i="5"/>
  <c r="J194" i="5"/>
  <c r="I118" i="5"/>
  <c r="I119" i="5"/>
  <c r="I120" i="5"/>
  <c r="I121" i="5"/>
  <c r="I122" i="5"/>
  <c r="I123" i="5"/>
  <c r="I125" i="5"/>
  <c r="H118" i="5"/>
  <c r="H119" i="5"/>
  <c r="H120" i="5"/>
  <c r="H121" i="5"/>
  <c r="H122" i="5"/>
  <c r="H123" i="5"/>
  <c r="H125" i="5"/>
  <c r="I117" i="5"/>
  <c r="H117" i="5"/>
  <c r="J116" i="5"/>
  <c r="I193" i="5"/>
  <c r="I192" i="5"/>
  <c r="I128" i="5"/>
  <c r="I129" i="5"/>
  <c r="I130" i="5"/>
  <c r="H128" i="5"/>
  <c r="H129" i="5"/>
  <c r="H130" i="5"/>
  <c r="H137" i="5"/>
  <c r="I30" i="5"/>
  <c r="I32" i="5"/>
  <c r="I33" i="5"/>
  <c r="H30" i="5"/>
  <c r="I29" i="5"/>
  <c r="H29" i="5"/>
  <c r="I25" i="5"/>
  <c r="I26" i="5"/>
  <c r="H25" i="5"/>
  <c r="H26" i="5"/>
  <c r="H69" i="5"/>
  <c r="H56" i="5"/>
  <c r="H57" i="5"/>
  <c r="H59" i="5"/>
  <c r="H60" i="5"/>
  <c r="H61" i="5"/>
  <c r="H62" i="5"/>
  <c r="H64" i="5"/>
  <c r="I101" i="5"/>
  <c r="I99" i="5"/>
  <c r="I97" i="5"/>
  <c r="I95" i="5"/>
  <c r="I94" i="5"/>
  <c r="I92" i="5"/>
  <c r="I90" i="5"/>
  <c r="I88" i="5"/>
  <c r="H99" i="5"/>
  <c r="H95" i="5"/>
  <c r="H101" i="5"/>
  <c r="H97" i="5"/>
  <c r="H94" i="5"/>
  <c r="H92" i="5"/>
  <c r="H90" i="5"/>
  <c r="H88" i="5"/>
  <c r="I238" i="5"/>
  <c r="H238" i="5"/>
  <c r="I235" i="5"/>
  <c r="H235" i="5"/>
  <c r="I233" i="5"/>
  <c r="H233" i="5"/>
  <c r="I205" i="5"/>
  <c r="I206" i="5"/>
  <c r="I207" i="5"/>
  <c r="H205" i="5"/>
  <c r="H206" i="5"/>
  <c r="H207" i="5"/>
  <c r="I204" i="5"/>
  <c r="H204" i="5"/>
  <c r="L17" i="3"/>
  <c r="M17" i="3"/>
  <c r="I28" i="3"/>
  <c r="H28" i="3"/>
  <c r="G28" i="3"/>
  <c r="F28" i="3"/>
  <c r="E28" i="3"/>
  <c r="D28" i="3"/>
  <c r="D27" i="3"/>
  <c r="I27" i="3"/>
  <c r="H27" i="3"/>
  <c r="G27" i="3"/>
  <c r="F27" i="3"/>
  <c r="E27" i="3"/>
  <c r="I24" i="3"/>
  <c r="H24" i="3"/>
  <c r="G24" i="3"/>
  <c r="F24" i="3"/>
  <c r="I23" i="3"/>
  <c r="H23" i="3"/>
  <c r="G23" i="3"/>
  <c r="F23" i="3"/>
  <c r="D24" i="3"/>
  <c r="D23" i="3"/>
  <c r="G20" i="3"/>
  <c r="G21" i="3"/>
  <c r="D21" i="3"/>
  <c r="H21" i="3" s="1"/>
  <c r="I21" i="3" s="1"/>
  <c r="F21" i="3"/>
  <c r="D20" i="3"/>
  <c r="H20" i="3" s="1"/>
  <c r="I20" i="3" s="1"/>
  <c r="I19" i="3"/>
  <c r="H19" i="3"/>
  <c r="G19" i="3"/>
  <c r="F19" i="3"/>
  <c r="D19" i="3"/>
  <c r="I18" i="3"/>
  <c r="H18" i="3"/>
  <c r="G18" i="3"/>
  <c r="F18" i="3"/>
  <c r="D18" i="3"/>
  <c r="I17" i="3"/>
  <c r="H17" i="3"/>
  <c r="G17" i="3"/>
  <c r="F17" i="3"/>
  <c r="D17" i="3"/>
  <c r="I16" i="3"/>
  <c r="F16" i="3"/>
  <c r="D16" i="3"/>
  <c r="H11" i="3"/>
  <c r="I12" i="3"/>
  <c r="I11" i="3"/>
  <c r="H12" i="3"/>
  <c r="F12" i="3"/>
  <c r="D12" i="3"/>
  <c r="D11" i="3"/>
  <c r="F11" i="3"/>
  <c r="I10" i="3"/>
  <c r="H10" i="3"/>
  <c r="F10" i="3"/>
  <c r="D10" i="3"/>
  <c r="H9" i="3"/>
  <c r="F9" i="3"/>
  <c r="D9" i="3"/>
  <c r="I165" i="5" l="1"/>
  <c r="H165" i="5"/>
  <c r="J165" i="5"/>
  <c r="F20" i="3"/>
  <c r="F8" i="3"/>
  <c r="D8" i="3"/>
  <c r="F6" i="3"/>
  <c r="D6" i="3"/>
  <c r="I5" i="3"/>
  <c r="F5" i="3"/>
  <c r="D5" i="3"/>
  <c r="I231" i="5"/>
  <c r="I230" i="5"/>
  <c r="H231" i="5"/>
  <c r="H230" i="5"/>
  <c r="J234" i="5"/>
  <c r="J232" i="5"/>
  <c r="J229" i="5"/>
  <c r="I228" i="5"/>
  <c r="I226" i="5"/>
  <c r="I224" i="5"/>
  <c r="H228" i="5"/>
  <c r="H226" i="5"/>
  <c r="H224" i="5"/>
  <c r="J227" i="5"/>
  <c r="J225" i="5"/>
  <c r="J223" i="5"/>
  <c r="I220" i="5"/>
  <c r="H220" i="5"/>
  <c r="J219" i="5"/>
  <c r="I218" i="5"/>
  <c r="H218" i="5"/>
  <c r="J217" i="5"/>
  <c r="J215" i="5"/>
  <c r="J213" i="5"/>
  <c r="I216" i="5"/>
  <c r="I214" i="5"/>
  <c r="H216" i="5"/>
  <c r="H214" i="5"/>
  <c r="I209" i="5"/>
  <c r="H209" i="5"/>
  <c r="I208" i="5"/>
  <c r="H208" i="5"/>
  <c r="J203" i="5"/>
  <c r="J241" i="5" s="1"/>
  <c r="I145" i="5"/>
  <c r="I146" i="5"/>
  <c r="I144" i="5"/>
  <c r="H145" i="5"/>
  <c r="H146" i="5"/>
  <c r="H144" i="5"/>
  <c r="I188" i="5"/>
  <c r="I189" i="5"/>
  <c r="I187" i="5"/>
  <c r="H188" i="5"/>
  <c r="H189" i="5"/>
  <c r="H187" i="5"/>
  <c r="D175" i="5" l="1"/>
  <c r="D179" i="5"/>
  <c r="D143" i="5" l="1"/>
  <c r="J143" i="5" s="1"/>
  <c r="D138" i="5"/>
  <c r="I137" i="5"/>
  <c r="J126" i="5"/>
  <c r="J262" i="5"/>
  <c r="J260" i="5"/>
  <c r="D265" i="5"/>
  <c r="D93" i="5"/>
  <c r="J93" i="5" s="1"/>
  <c r="J100" i="5"/>
  <c r="J96" i="5"/>
  <c r="D107" i="5" l="1"/>
  <c r="J107" i="5" s="1"/>
  <c r="J89" i="5"/>
  <c r="J87" i="5"/>
  <c r="I72" i="5" l="1"/>
  <c r="I69" i="5"/>
  <c r="I64" i="5"/>
  <c r="I62" i="5"/>
  <c r="I61" i="5"/>
  <c r="I60" i="5"/>
  <c r="I59" i="5"/>
  <c r="I57" i="5"/>
  <c r="I56" i="5"/>
  <c r="J303" i="5" l="1"/>
  <c r="J290" i="5"/>
  <c r="J274" i="5"/>
  <c r="J265" i="5"/>
  <c r="J306" i="5" s="1"/>
  <c r="I258" i="5"/>
  <c r="H258" i="5"/>
  <c r="J261" i="5"/>
  <c r="J259" i="5"/>
  <c r="J257" i="5"/>
  <c r="J246" i="5"/>
  <c r="J243" i="5"/>
  <c r="J263" i="5" s="1"/>
  <c r="H178" i="5"/>
  <c r="I35" i="5"/>
  <c r="I39" i="5"/>
  <c r="I37" i="5"/>
  <c r="I71" i="5"/>
  <c r="I55" i="5"/>
  <c r="I53" i="5"/>
  <c r="I52" i="5"/>
  <c r="I168" i="5"/>
  <c r="H168" i="5"/>
  <c r="H201" i="5" s="1"/>
  <c r="I134" i="5"/>
  <c r="I135" i="5"/>
  <c r="I142" i="5"/>
  <c r="I147" i="5"/>
  <c r="J167" i="5"/>
  <c r="J201" i="5" s="1"/>
  <c r="H147" i="5"/>
  <c r="H142" i="5"/>
  <c r="I237" i="5"/>
  <c r="I222" i="5"/>
  <c r="I190" i="5"/>
  <c r="I183" i="5"/>
  <c r="I181" i="5"/>
  <c r="I180" i="5"/>
  <c r="I84" i="5"/>
  <c r="H71" i="5"/>
  <c r="H55" i="5"/>
  <c r="I106" i="5"/>
  <c r="I108" i="5"/>
  <c r="H108" i="5"/>
  <c r="H106" i="5"/>
  <c r="H237" i="5"/>
  <c r="H222" i="5"/>
  <c r="H190" i="5"/>
  <c r="H183" i="5"/>
  <c r="J179" i="5"/>
  <c r="H180" i="5"/>
  <c r="H181" i="5"/>
  <c r="J236" i="5"/>
  <c r="J191" i="5"/>
  <c r="J186" i="5"/>
  <c r="I178" i="5" l="1"/>
  <c r="H135" i="5"/>
  <c r="H134" i="5"/>
  <c r="J110" i="5"/>
  <c r="H113" i="5"/>
  <c r="I113" i="5"/>
  <c r="J104" i="5"/>
  <c r="H53" i="5"/>
  <c r="H52" i="5"/>
  <c r="H49" i="5"/>
  <c r="J54" i="5"/>
  <c r="J51" i="5"/>
  <c r="J50" i="5"/>
  <c r="J48" i="5"/>
  <c r="J70" i="5"/>
  <c r="J73" i="5"/>
  <c r="H86" i="5"/>
  <c r="H84" i="5"/>
  <c r="J85" i="5"/>
  <c r="J83" i="5"/>
  <c r="J46" i="5"/>
  <c r="J43" i="5"/>
  <c r="H39" i="5"/>
  <c r="H37" i="5"/>
  <c r="J36" i="5"/>
  <c r="J28" i="5"/>
  <c r="J27" i="5"/>
  <c r="I49" i="5"/>
  <c r="I298" i="5" l="1"/>
  <c r="H298" i="5"/>
  <c r="J295" i="5"/>
  <c r="I294" i="5"/>
  <c r="H294" i="5"/>
  <c r="J293" i="5"/>
  <c r="I292" i="5"/>
  <c r="H292" i="5"/>
  <c r="I289" i="5"/>
  <c r="H289" i="5"/>
  <c r="J286" i="5"/>
  <c r="I285" i="5"/>
  <c r="H285" i="5"/>
  <c r="J284" i="5"/>
  <c r="I280" i="5"/>
  <c r="H280" i="5"/>
  <c r="J279" i="5"/>
  <c r="I278" i="5"/>
  <c r="H278" i="5"/>
  <c r="J276" i="5"/>
  <c r="I275" i="5"/>
  <c r="H275" i="5"/>
  <c r="I266" i="5"/>
  <c r="H266" i="5"/>
  <c r="H299" i="5" s="1"/>
  <c r="I256" i="5"/>
  <c r="H256" i="5"/>
  <c r="J255" i="5"/>
  <c r="I254" i="5"/>
  <c r="H254" i="5"/>
  <c r="J253" i="5"/>
  <c r="I251" i="5"/>
  <c r="H251" i="5"/>
  <c r="I250" i="5"/>
  <c r="H250" i="5"/>
  <c r="J248" i="5"/>
  <c r="I247" i="5"/>
  <c r="H247" i="5"/>
  <c r="I245" i="5"/>
  <c r="H245" i="5"/>
  <c r="I244" i="5"/>
  <c r="H244" i="5"/>
  <c r="H263" i="5" s="1"/>
  <c r="I240" i="5"/>
  <c r="I241" i="5" s="1"/>
  <c r="H240" i="5"/>
  <c r="J239" i="5"/>
  <c r="I185" i="5"/>
  <c r="H185" i="5"/>
  <c r="J184" i="5"/>
  <c r="I176" i="5"/>
  <c r="H176" i="5"/>
  <c r="J175" i="5"/>
  <c r="I141" i="5"/>
  <c r="H141" i="5"/>
  <c r="I140" i="5"/>
  <c r="H140" i="5"/>
  <c r="I139" i="5"/>
  <c r="H139" i="5"/>
  <c r="J138" i="5"/>
  <c r="I133" i="5"/>
  <c r="H133" i="5"/>
  <c r="I132" i="5"/>
  <c r="H132" i="5"/>
  <c r="J131" i="5"/>
  <c r="I127" i="5"/>
  <c r="H127" i="5"/>
  <c r="I115" i="5"/>
  <c r="H115" i="5"/>
  <c r="J114" i="5"/>
  <c r="I112" i="5"/>
  <c r="H112" i="5"/>
  <c r="I111" i="5"/>
  <c r="H111" i="5"/>
  <c r="I105" i="5"/>
  <c r="H105" i="5"/>
  <c r="H148" i="5" s="1"/>
  <c r="I82" i="5"/>
  <c r="I102" i="5" s="1"/>
  <c r="H82" i="5"/>
  <c r="H102" i="5" s="1"/>
  <c r="J81" i="5"/>
  <c r="J102" i="5" s="1"/>
  <c r="I78" i="5"/>
  <c r="H78" i="5"/>
  <c r="I77" i="5"/>
  <c r="H77" i="5"/>
  <c r="J75" i="5"/>
  <c r="I74" i="5"/>
  <c r="H74" i="5"/>
  <c r="I47" i="5"/>
  <c r="H47" i="5"/>
  <c r="I45" i="5"/>
  <c r="H45" i="5"/>
  <c r="I44" i="5"/>
  <c r="H44" i="5"/>
  <c r="I42" i="5"/>
  <c r="H42" i="5"/>
  <c r="J41" i="5"/>
  <c r="I24" i="5"/>
  <c r="H24" i="5"/>
  <c r="I23" i="5"/>
  <c r="H23" i="5"/>
  <c r="H79" i="5" s="1"/>
  <c r="J21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H306" i="5" l="1"/>
  <c r="I201" i="5"/>
  <c r="I148" i="5"/>
  <c r="I263" i="5"/>
  <c r="I79" i="5"/>
  <c r="J79" i="5"/>
  <c r="J148" i="5"/>
  <c r="I299" i="5"/>
  <c r="I16" i="5"/>
  <c r="H16" i="5"/>
  <c r="J16" i="5"/>
  <c r="I306" i="5" l="1"/>
</calcChain>
</file>

<file path=xl/comments1.xml><?xml version="1.0" encoding="utf-8"?>
<comments xmlns="http://schemas.openxmlformats.org/spreadsheetml/2006/main">
  <authors>
    <author>Сергиенко Елена Анатольевна</author>
  </authors>
  <commentList>
    <comment ref="D96" authorId="0">
      <text>
        <r>
          <rPr>
            <b/>
            <sz val="9"/>
            <color indexed="81"/>
            <rFont val="Tahoma"/>
            <family val="2"/>
            <charset val="204"/>
          </rPr>
          <t>Сергиенко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ГРЩД3,4:12144м
ППЩ3,4: 5670
</t>
        </r>
      </text>
    </comment>
    <comment ref="D127" authorId="0">
      <text>
        <r>
          <rPr>
            <b/>
            <sz val="9"/>
            <color indexed="81"/>
            <rFont val="Tahoma"/>
            <family val="2"/>
            <charset val="204"/>
          </rPr>
          <t>Сергиенко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ГРЩД3</t>
        </r>
      </text>
    </comment>
  </commentList>
</comments>
</file>

<file path=xl/sharedStrings.xml><?xml version="1.0" encoding="utf-8"?>
<sst xmlns="http://schemas.openxmlformats.org/spreadsheetml/2006/main" count="1305" uniqueCount="572">
  <si>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</si>
  <si>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</si>
  <si>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</si>
  <si>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</si>
  <si>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</si>
  <si>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</si>
  <si>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</si>
  <si>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</si>
  <si>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ВСЕГО:</t>
  </si>
  <si>
    <t>Прокладка</t>
  </si>
  <si>
    <t>Трубы диам.</t>
  </si>
  <si>
    <t>м</t>
  </si>
  <si>
    <t>Ед. изм.</t>
  </si>
  <si>
    <t>Задвижка</t>
  </si>
  <si>
    <t>шт</t>
  </si>
  <si>
    <t>м2</t>
  </si>
  <si>
    <t>1.1</t>
  </si>
  <si>
    <t>3.1</t>
  </si>
  <si>
    <t>17.1</t>
  </si>
  <si>
    <t>*</t>
  </si>
  <si>
    <t>**</t>
  </si>
  <si>
    <t>Приложение № 1</t>
  </si>
  <si>
    <t>Завод изготовитель</t>
  </si>
  <si>
    <t>Срок поставки</t>
  </si>
  <si>
    <t>Прим.</t>
  </si>
  <si>
    <t>Поставка материала</t>
  </si>
  <si>
    <t>ИТОГО по разделу</t>
  </si>
  <si>
    <t>к-т</t>
  </si>
  <si>
    <t>ВСЕГО по жилому дому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</si>
  <si>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</si>
  <si>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</si>
  <si>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</si>
  <si>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</si>
  <si>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4</t>
  </si>
  <si>
    <t>4.1</t>
  </si>
  <si>
    <t>4.2</t>
  </si>
  <si>
    <t>5.1</t>
  </si>
  <si>
    <t>6.1</t>
  </si>
  <si>
    <t>6.2</t>
  </si>
  <si>
    <t>7</t>
  </si>
  <si>
    <t>7.1</t>
  </si>
  <si>
    <t>8.1</t>
  </si>
  <si>
    <t>10</t>
  </si>
  <si>
    <t>10.1</t>
  </si>
  <si>
    <t>8</t>
  </si>
  <si>
    <t>2</t>
  </si>
  <si>
    <t>3</t>
  </si>
  <si>
    <t>9</t>
  </si>
  <si>
    <t>11</t>
  </si>
  <si>
    <t>11.1</t>
  </si>
  <si>
    <t>12.1</t>
  </si>
  <si>
    <t>13.1</t>
  </si>
  <si>
    <t>14.1</t>
  </si>
  <si>
    <t>15.1</t>
  </si>
  <si>
    <t>т</t>
  </si>
  <si>
    <t>СУММАРНО СМР:</t>
  </si>
  <si>
    <t>10.2</t>
  </si>
  <si>
    <t>12</t>
  </si>
  <si>
    <t>13</t>
  </si>
  <si>
    <t>14.2</t>
  </si>
  <si>
    <t>16</t>
  </si>
  <si>
    <t>16.1</t>
  </si>
  <si>
    <t>17</t>
  </si>
  <si>
    <t>18.1</t>
  </si>
  <si>
    <t>19.1</t>
  </si>
  <si>
    <t>19.2</t>
  </si>
  <si>
    <t>19.3</t>
  </si>
  <si>
    <t>20</t>
  </si>
  <si>
    <t>21.1</t>
  </si>
  <si>
    <t>20.1</t>
  </si>
  <si>
    <t>21.2</t>
  </si>
  <si>
    <t>21.3</t>
  </si>
  <si>
    <t>22.1</t>
  </si>
  <si>
    <t>23.1</t>
  </si>
  <si>
    <t>24.1</t>
  </si>
  <si>
    <t>24.2</t>
  </si>
  <si>
    <t>25.1</t>
  </si>
  <si>
    <t>25.2</t>
  </si>
  <si>
    <t>26</t>
  </si>
  <si>
    <t>26.1</t>
  </si>
  <si>
    <t>27.1</t>
  </si>
  <si>
    <t>28</t>
  </si>
  <si>
    <t>28.1</t>
  </si>
  <si>
    <t>30.1</t>
  </si>
  <si>
    <t>31.1</t>
  </si>
  <si>
    <t>33</t>
  </si>
  <si>
    <t>34</t>
  </si>
  <si>
    <t>34.1</t>
  </si>
  <si>
    <t>35.1</t>
  </si>
  <si>
    <t>36.1</t>
  </si>
  <si>
    <t>37</t>
  </si>
  <si>
    <t>37.1</t>
  </si>
  <si>
    <t>38</t>
  </si>
  <si>
    <t>43</t>
  </si>
  <si>
    <t>44</t>
  </si>
  <si>
    <t>46</t>
  </si>
  <si>
    <t>47</t>
  </si>
  <si>
    <t>48</t>
  </si>
  <si>
    <t>50</t>
  </si>
  <si>
    <t>Щит заводского изготовления однорядный или двухрядный: шкафного исполнения, глубина до 800 мм</t>
  </si>
  <si>
    <t>1м ширины</t>
  </si>
  <si>
    <t>1.1.1</t>
  </si>
  <si>
    <t>1.1.2</t>
  </si>
  <si>
    <t>1.1.3</t>
  </si>
  <si>
    <t>ЩО70-1-154</t>
  </si>
  <si>
    <t>1.1.4</t>
  </si>
  <si>
    <t>ЩО70-1-95УЗ(торцевая панель)</t>
  </si>
  <si>
    <t>Металлические конструкции</t>
  </si>
  <si>
    <t>Прибор или аппарат, снятый перед транспортировкой</t>
  </si>
  <si>
    <t>3.2</t>
  </si>
  <si>
    <t>3.3</t>
  </si>
  <si>
    <t>Коробка испытательная ИКК</t>
  </si>
  <si>
    <t>Трансформаторы ЗТ-0,66 1000/5</t>
  </si>
  <si>
    <t>Трансформаторы ЗТ-0,66 500/5</t>
  </si>
  <si>
    <t>Трансформаторы ЗТ-0,66 400/5</t>
  </si>
  <si>
    <t>Трансформаторы ЗТ-0,66 150/5</t>
  </si>
  <si>
    <t>3.4</t>
  </si>
  <si>
    <t>3.5</t>
  </si>
  <si>
    <t>Счетчики, устанавливаемые на готовом основании: трехфазные</t>
  </si>
  <si>
    <t>Счетчик типа ЦЭ2727/2Т 380В 5-10А</t>
  </si>
  <si>
    <t>Счетчик типа ЦЭ2727 380В 10-100А</t>
  </si>
  <si>
    <t>Счетчик типа ЦЭ2727 380В 50-50А</t>
  </si>
  <si>
    <t>Блок управления шкафного исполнения или распределительный пункт (шкаф), устанавливаемый на стене, высота и ширина, мм, до: 1200x1000</t>
  </si>
  <si>
    <t>Монтаж щитового оборудования ЖЧ</t>
  </si>
  <si>
    <t>Счетчик типа ЦЭ2727/1Т 380В 5-10А</t>
  </si>
  <si>
    <t>Шкаф (пульт) управления навесной, высота, ширина и глубина, мм, до: 900x600x500</t>
  </si>
  <si>
    <t xml:space="preserve">Конструкция сварная </t>
  </si>
  <si>
    <t>Шкаф (пульт) управления навесной, высота, ширина и глубина, мм, до: 600x600x350</t>
  </si>
  <si>
    <t>Щит ЩР (ТСЖ) 5-групп, 3-резерв</t>
  </si>
  <si>
    <t>Щит ЩР (диспетчер) 5-групп, 3-резерв</t>
  </si>
  <si>
    <t>Щитки, устанавливаемые в нише распорными дюбелями, масса щитка, кг, до: 25</t>
  </si>
  <si>
    <t>ЩРЭ-7(3)</t>
  </si>
  <si>
    <t>ЩРЭ-7(5)</t>
  </si>
  <si>
    <t>ЩРЭ-7(6)</t>
  </si>
  <si>
    <t>ЩРЭ-7(8)</t>
  </si>
  <si>
    <t>ЩРЭ-8(3) с рубильником ВР32-31 125А на вводе</t>
  </si>
  <si>
    <t>ЩРЭ-8(5) с рубильником ВР32-33 160А на вводе</t>
  </si>
  <si>
    <t>ЩРЭ-8(5) с рубильником ОТ200 160А на вводе</t>
  </si>
  <si>
    <t>ЩРЭ-8(6) с рубильником ВР32-31 125А на вводе</t>
  </si>
  <si>
    <t>ЩРЭ-8(6) с рубильником ВР32-33 160А на вводе</t>
  </si>
  <si>
    <t>ЩРЭ-8(8) с рубильником ВР32-33 160А на вводе</t>
  </si>
  <si>
    <t>ЩРЭ-8(8) с рубильником ОТ200 160А на вводе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</si>
  <si>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</si>
  <si>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</si>
  <si>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</si>
  <si>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</si>
  <si>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</si>
  <si>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</si>
  <si>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</si>
  <si>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</si>
  <si>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</si>
  <si>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</si>
  <si>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ЩК-1М(4)</t>
  </si>
  <si>
    <t>ЩК-1М(5)</t>
  </si>
  <si>
    <t>12.2</t>
  </si>
  <si>
    <t>Ящик</t>
  </si>
  <si>
    <t>Ящик с понижающим трансформатором ЯТП-0,25-1 220/36В</t>
  </si>
  <si>
    <t xml:space="preserve">          Монтаж кабеленесущих систем</t>
  </si>
  <si>
    <t>Трубы стальные по установленным конструкциям. Труба по установленным конструкциям, по стенам с креплением скобами, диаметр, мм, до: 100</t>
  </si>
  <si>
    <r>
      <t xml:space="preserve">Труба стальная электросварная, тонкостенная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 xml:space="preserve"> 100 мм</t>
    </r>
  </si>
  <si>
    <t>Трубы стальные по установленным конструкциям. Труба по установленным конструкциям, по стенам с креплением скобами, диаметр, мм, до: 80</t>
  </si>
  <si>
    <r>
      <t xml:space="preserve">Труба стальная электросварная, тонкостенная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 xml:space="preserve"> 80 мм</t>
    </r>
  </si>
  <si>
    <t>Шина медная или алюминиевая сечением, мм2, до: 500</t>
  </si>
  <si>
    <t>Шина медная Cu 50*6*1000</t>
  </si>
  <si>
    <t>Шина медная Cu 60*6*1000</t>
  </si>
  <si>
    <t>Короб по стенам и потолкам, длина, м: 3</t>
  </si>
  <si>
    <t>Короб стальной 2-х канальный 150 мм, 3м, КМ 150-2</t>
  </si>
  <si>
    <t>Конструкция сварная</t>
  </si>
  <si>
    <t>18</t>
  </si>
  <si>
    <t>Конструкция для крепления КМ 150*2 из полосы стальной 40*4</t>
  </si>
  <si>
    <t>Монтаж магистральных кабелей и проводов</t>
  </si>
  <si>
    <t>Кабели до 35 кв в проложенных трубах, блоках и коробах, массой 1 м, кг, до: 3</t>
  </si>
  <si>
    <t>Кабели до 35 кв в проложенных трубах, блоках и коробах, массой 1 м, кг, до: 2</t>
  </si>
  <si>
    <t>Кабель силовой АВВГнг-LS 5х 120 мм2 0,66 кВ</t>
  </si>
  <si>
    <t>Кабель силовой АВВГнг-LS 5х 95 мм2 0,66 кВ</t>
  </si>
  <si>
    <t>Кабель силовой АВВГнг-LS 5х 70 мм2 0,66 кВ</t>
  </si>
  <si>
    <t>19</t>
  </si>
  <si>
    <t>Кабели до 35 кв в проложенных трубах, блоках и коробах, массой 1 м, кг, до: 1</t>
  </si>
  <si>
    <t>Кабель силовой АВВГ 1х120 мм2 0.66 кВ</t>
  </si>
  <si>
    <t>Кабель силовой АВВГ 1х 95 мм2 1 кВ</t>
  </si>
  <si>
    <t>Кабель силовой АВВГ 1х 70 мм2 0,66 кВ</t>
  </si>
  <si>
    <t>МОНТАЖ ЭО ВСТРОЕННЫХ ПОМЕЩЕНИЙ</t>
  </si>
  <si>
    <t>Трубы винипластовые по установленным конструкциям. Труба с креплением скобами, диаметр, мм, до: 63</t>
  </si>
  <si>
    <t>Труба ПВХ 100</t>
  </si>
  <si>
    <t>Труба ПВХ 70</t>
  </si>
  <si>
    <t>Кабели до 35 кв в проложенных трубах, блоках и коробах, массой 1 м, кг, до: 9</t>
  </si>
  <si>
    <t>Кабель силовой ВВГнг-LS 5х 150 мм2 1 кВ</t>
  </si>
  <si>
    <t>Кабели до 35 кв в проложенных трубах, блоках и коробах, массой 1 м, кг, до: 6</t>
  </si>
  <si>
    <t>Кабель силовой ВВГнг-LS 5х 50 мм2 1 кВ</t>
  </si>
  <si>
    <t>Блок управления шкафного исполнения или распределительный пункт (шкаф), устанавливаемый на полу, высота и ширина, мм, до: 1200x1000</t>
  </si>
  <si>
    <t>Труба ПВХ 80</t>
  </si>
  <si>
    <t>Кабель силовой ВВГнг-FRLS 5*70</t>
  </si>
  <si>
    <t>Кабель силовой АПВБбШп 4х 50 мм2 1 кВ</t>
  </si>
  <si>
    <t>Трубы стальные по установленным конструкциям. Труба по установленным конструкциям, по стенам с креплением скобами, диаметр, мм, до: 25</t>
  </si>
  <si>
    <t xml:space="preserve">Труба стальная ВГП Ø 25 мм </t>
  </si>
  <si>
    <t>Трубы винипластовые по установленным конструкциям. Труба с креплением скобами, диаметр, мм, до: 25</t>
  </si>
  <si>
    <t>Труба ПВХ 25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</si>
  <si>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6</t>
  </si>
  <si>
    <t>Кабель ВВГнг-LS 3*2,5</t>
  </si>
  <si>
    <t xml:space="preserve">Кабель силовой ВВГнг-LS 3х 1,5 мм2 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</si>
  <si>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16</t>
  </si>
  <si>
    <t xml:space="preserve">Кабель силовой ВВГнг-LS 3х 4 мм2 </t>
  </si>
  <si>
    <t xml:space="preserve">Кабель силовой ВВГнг-LS 4х 2,5 мм2 </t>
  </si>
  <si>
    <t>Кабель силовой ВВГнг-LS 5х 1,5 мм2</t>
  </si>
  <si>
    <t>Кабель силовой ВВГнг-LS 5х 2,5 мм2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</si>
  <si>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35</t>
  </si>
  <si>
    <t xml:space="preserve">Кабель силовой ВВГнг 5х 4 мм2 </t>
  </si>
  <si>
    <t>Трубы винипластовые по установленным конструкциям. Труба с креплением скобами, диаметр, мм, до: 50</t>
  </si>
  <si>
    <t>Труба ПВХ 32 мм</t>
  </si>
  <si>
    <t>Труба ПВХ (гладкая) диаметром 40 мм</t>
  </si>
  <si>
    <t xml:space="preserve">Кабель силовой ВВГнг-LS 5х 6 мм2 </t>
  </si>
  <si>
    <t>Труба ПВХ63</t>
  </si>
  <si>
    <t xml:space="preserve">Кабель силовой ВВГ 5х 35 мм2 </t>
  </si>
  <si>
    <t>Труба ПВХ80</t>
  </si>
  <si>
    <t>Кабель силовой ВВГнг-LS 5х 70 мм2 1 кВ</t>
  </si>
  <si>
    <t>Кабель силовой ВВГнг-LS 5*2,5</t>
  </si>
  <si>
    <t xml:space="preserve">Кабель силовой ВВГнг-LS 5х 1,5 мм2 </t>
  </si>
  <si>
    <t>Счетчики эл/энергии трехфазные электронные ЦЭ2727М 5(10), двухтарифные</t>
  </si>
  <si>
    <t>Прибор или аппарат</t>
  </si>
  <si>
    <t>Трансформаторы тока ЗТ-0,66 300/5</t>
  </si>
  <si>
    <t>Трансформаторы тока ЗТ-0,66 150/5</t>
  </si>
  <si>
    <t>ПОДКЛЮЧЕНИЕ ПАРКОВОЧНОЙ СИСТЕМЫ</t>
  </si>
  <si>
    <t>Засыпка вручную траншей, пазух котлованов и ям, группа грунтов: 1</t>
  </si>
  <si>
    <t>Устройство постели при одном кабеле в траншее</t>
  </si>
  <si>
    <t>Кабель до 35 кв в готовых траншеях без покрытий, массой 1 м, кг, до: 1</t>
  </si>
  <si>
    <t>Кабель силовой АПВБбШв 5х 10 мм2 1 кВ</t>
  </si>
  <si>
    <t>Кабель силовой АПВБбШв 5х 6 мм2 1 кВ</t>
  </si>
  <si>
    <t>Кабель силовой АПВБбШв 5х 4 мм2 1 кВ</t>
  </si>
  <si>
    <t>Кабель силовой АПВБбШв 5х 2,5 мм2 1 кВ</t>
  </si>
  <si>
    <t>Кабель до 35 кв в готовых траншеях без покрытий, массой 1 м, кг, до: 2</t>
  </si>
  <si>
    <t>Кабель силовой АПВБбШв 4х 50 мм2 1 кВ</t>
  </si>
  <si>
    <t>Покрытие кабеля: лентой сигнальной типа "Электро" одного кабеля</t>
  </si>
  <si>
    <t>Ленты сигнальные типа "Электро" 300мкм, 150 мм *100 п.м, "Осторожно кабель"</t>
  </si>
  <si>
    <t>Заделка концевая для 3-4-жильного кабеля с пластмассовой и резиновой изоляцией напряжением до 1 кВ, сечение одной жилы, мм2, до: 35</t>
  </si>
  <si>
    <t>Кабельная заделка</t>
  </si>
  <si>
    <t>Присоединение к зажимам жил проводов или кабелей. Провод или кабель сечением, мм2, до: 2,5</t>
  </si>
  <si>
    <t>Присоединение к зажимам жил проводов или кабелей. Провод или кабель сечением, мм2, до: 6</t>
  </si>
  <si>
    <t>Присоединение к зажимам жил проводов или кабелей. Провод или кабель сечением, мм2, до: 16</t>
  </si>
  <si>
    <t>Присоединение к зажимам жил проводов или кабелей. Провод или кабель сечением, мм2, до: 35</t>
  </si>
  <si>
    <t>м3</t>
  </si>
  <si>
    <t xml:space="preserve">Кабель силовой ВВГнг-FRLS 3х 1,5 мм2 </t>
  </si>
  <si>
    <t>Кабель силовой ВВГнг-FRLS 3х 2,5 мм3</t>
  </si>
  <si>
    <t>Кабель силовой ВВГнг-FRLS 5х 2,5 мм3</t>
  </si>
  <si>
    <t xml:space="preserve">Кабель силовой ВВГнг-FRLS 5х 4 мм2 </t>
  </si>
  <si>
    <t xml:space="preserve">Кабель силовой ВВГнг-FRLS 5х 6 мм2 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</si>
  <si>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70</t>
  </si>
  <si>
    <t xml:space="preserve">Кабель силовой ВВГнг-FRLS 5х 10 мм2 </t>
  </si>
  <si>
    <t xml:space="preserve">Кабель силовой ВВГнг-LS 5х 10 мм2 </t>
  </si>
  <si>
    <t xml:space="preserve">Кабель силовой ВВГнг-LS 5х 16 мм2 </t>
  </si>
  <si>
    <t>Кабель силовой ВВГнг-FRLS 5х 16 мм2</t>
  </si>
  <si>
    <t>МОНТАЖ КВАРТИРНОЙ РАЗВОДКИ</t>
  </si>
  <si>
    <t>Провод ПВ1 6 мм2</t>
  </si>
  <si>
    <t>Затягивание проводов в проложенные трубы и металлические рукава. Провод каждый последующий одножильный или многожильный в общей оплетке, суммарное сечение, мм2, до: 6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</si>
  <si>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2,5</t>
  </si>
  <si>
    <t>Провод ПВ1 1,5 мм2</t>
  </si>
  <si>
    <t>Провод ПВ1 2,5 мм2</t>
  </si>
  <si>
    <t xml:space="preserve">Провод ПВ1 10 мм2 </t>
  </si>
  <si>
    <t>Затягивание проводов в проложенные трубы и металлические рукава. Провод каждый последующий одножильный или многожильный в общей оплетке, суммарное сечение, мм2, до: 35</t>
  </si>
  <si>
    <t>Провод ПВ1 4 мм2</t>
  </si>
  <si>
    <t>Шинка медная на 5 присоединений для коробки</t>
  </si>
  <si>
    <t>Труба ПВХ гофра диаметр 20 мм</t>
  </si>
  <si>
    <t>Коробки установочные скрытой проводки</t>
  </si>
  <si>
    <r>
      <rPr>
        <b/>
        <sz val="11"/>
        <color rgb="FFFF0000"/>
        <rFont val="Times New Roman"/>
        <family val="1"/>
        <charset val="204"/>
      </rPr>
      <t xml:space="preserve">              </t>
    </r>
    <r>
      <rPr>
        <b/>
        <u/>
        <sz val="11"/>
        <color rgb="FFFF0000"/>
        <rFont val="Times New Roman"/>
        <family val="1"/>
        <charset val="204"/>
      </rPr>
      <t xml:space="preserve"> МОНТАЖ ОСВЕТИТЕЛЬНОЙ  И ЭЛЕКТРОУСТАНОВОЧНОЙ АРМАТУРЫ</t>
    </r>
  </si>
  <si>
    <t>Светильник потолочный или настенный: с креплением винтами для помещений с нормальными условиями среды одноламповый</t>
  </si>
  <si>
    <t>Светильник Вега  60Вт</t>
  </si>
  <si>
    <t>Лампа накаливания 60 Вт</t>
  </si>
  <si>
    <t>Патрон: стенной или потолочный</t>
  </si>
  <si>
    <t>Патрон: подвесной</t>
  </si>
  <si>
    <t>Патрон стенной</t>
  </si>
  <si>
    <t>Патрон подвесной</t>
  </si>
  <si>
    <t>Выключатель: одноклавишный утопленного типа при скрытой проводке</t>
  </si>
  <si>
    <t>Выключатели скрытой проводки,  1 клав., С16-057</t>
  </si>
  <si>
    <t>Выключатель: двухклавишный утопленного типа при скрытой проводке</t>
  </si>
  <si>
    <t>Выключатели скрытой проводки,  2 клав.</t>
  </si>
  <si>
    <t>31</t>
  </si>
  <si>
    <t>32</t>
  </si>
  <si>
    <t>Выключатель: одноклавишный неутопленного типа при открытой проводке</t>
  </si>
  <si>
    <t>Выключатель одноклавишный для открытой установки</t>
  </si>
  <si>
    <t>35</t>
  </si>
  <si>
    <t>36</t>
  </si>
  <si>
    <t>Переключатель: неутопленного типа при открытой проводке</t>
  </si>
  <si>
    <t>Переключатели на два направления открытой установки IP44</t>
  </si>
  <si>
    <t>Розетка штепсельная: полугерметическая и герметическая</t>
  </si>
  <si>
    <t xml:space="preserve">Розетки скрытой проводки, 1-местные, влагозащитные, с заземлением РА16-112Б, IP44 </t>
  </si>
  <si>
    <t>Розетка штепсельная: неутопленного типа при открытой проводке</t>
  </si>
  <si>
    <t>Розетки открытой проводки, Беларусь, 1-местные, влагозащитные, РА 16-236, IP44</t>
  </si>
  <si>
    <t>39</t>
  </si>
  <si>
    <t>Розетка штепсельная: трехполюсная</t>
  </si>
  <si>
    <t>Розетки штепсельные с заземляющим контактом</t>
  </si>
  <si>
    <t>Розетки скрытой проводки, "Прима", 2-местные, РС16-007</t>
  </si>
  <si>
    <t>Разъем штепсельныйт с количеством контактов до: 4</t>
  </si>
  <si>
    <t>Разъемы штепсельные для электроплит РШ-ВШ</t>
  </si>
  <si>
    <t>Звонок с кнопкой</t>
  </si>
  <si>
    <t xml:space="preserve">Звонки электрические </t>
  </si>
  <si>
    <t>Расчет длин труб уже проложенных в монолите и подлежащих изъятию из новой сметы, а также замена кабелей магистральных на подводки к светильникам 3*1,5</t>
  </si>
  <si>
    <t>магистраль</t>
  </si>
  <si>
    <t>3С7</t>
  </si>
  <si>
    <t>кол-во этажей</t>
  </si>
  <si>
    <t>ПНД25</t>
  </si>
  <si>
    <t>всего, м</t>
  </si>
  <si>
    <t>заложено ПВХ магистрали</t>
  </si>
  <si>
    <t>оставить в смете</t>
  </si>
  <si>
    <t>ВВГнг 3*2,5 заложено</t>
  </si>
  <si>
    <t>заменить на 3*1,5</t>
  </si>
  <si>
    <t>остаток 3*2,5</t>
  </si>
  <si>
    <t>3С8</t>
  </si>
  <si>
    <t>3С26</t>
  </si>
  <si>
    <t>3М16А</t>
  </si>
  <si>
    <t>3C5</t>
  </si>
  <si>
    <t>на первом этаже на освещение еще 25,2, сам стояк до 14 этажа 45м</t>
  </si>
  <si>
    <t>3С6</t>
  </si>
  <si>
    <t>ЗМ17А</t>
  </si>
  <si>
    <t>3М24А</t>
  </si>
  <si>
    <t>на первом этаже на освещение еще 23,5, сам стояк до 14 этажа 45м</t>
  </si>
  <si>
    <t>3С9</t>
  </si>
  <si>
    <t>3С10</t>
  </si>
  <si>
    <t>3С12</t>
  </si>
  <si>
    <t>3М18А</t>
  </si>
  <si>
    <t>3М27А</t>
  </si>
  <si>
    <t>3М28А</t>
  </si>
  <si>
    <t>3М26А</t>
  </si>
  <si>
    <t>3М25А</t>
  </si>
  <si>
    <t>ВЫВОДЫ ИЗ ТАБЛИЦЫ:</t>
  </si>
  <si>
    <t>УМНОЖАЕМ ВСЕ НА 2(ЗЕР</t>
  </si>
  <si>
    <t>КАЛЬНО 8 И 9 СЕКЦИИ</t>
  </si>
  <si>
    <r>
      <t xml:space="preserve">Исключаем из сметы 3358 м трубы </t>
    </r>
    <r>
      <rPr>
        <sz val="11"/>
        <color theme="1"/>
        <rFont val="Calibri"/>
        <family val="2"/>
        <charset val="204"/>
      </rPr>
      <t>Ø25 мм</t>
    </r>
    <r>
      <rPr>
        <sz val="11"/>
        <color theme="1"/>
        <rFont val="Calibri"/>
        <family val="2"/>
        <charset val="204"/>
        <scheme val="minor"/>
      </rPr>
      <t>ПВХ, т.к. она проложена в монолите на этажах</t>
    </r>
  </si>
  <si>
    <t>нгLS</t>
  </si>
  <si>
    <t>нгFRLS</t>
  </si>
  <si>
    <r>
      <t xml:space="preserve">Исключаем из </t>
    </r>
    <r>
      <rPr>
        <u/>
        <sz val="11"/>
        <color theme="1"/>
        <rFont val="Calibri"/>
        <family val="2"/>
        <charset val="204"/>
        <scheme val="minor"/>
      </rPr>
      <t>сметы в материалах</t>
    </r>
    <r>
      <rPr>
        <sz val="11"/>
        <color theme="1"/>
        <rFont val="Calibri"/>
        <family val="2"/>
        <charset val="204"/>
        <scheme val="minor"/>
      </rPr>
      <t xml:space="preserve"> 3526м кабеля ВВНнг 3*2,5, это же количество вносим в 3*1,5, причем ВВГнг-LS 1978 ВВГнг-FRLS-1548</t>
    </r>
  </si>
  <si>
    <t>Светильник НППО3-60</t>
  </si>
  <si>
    <t>Светильник НПО22-60</t>
  </si>
  <si>
    <t>Светильник с лампами: ртутными</t>
  </si>
  <si>
    <t>Светильники РКУ 08-250</t>
  </si>
  <si>
    <t>Лампа ДРЛ-250</t>
  </si>
  <si>
    <t>Светильник с лампами: люминесцентными</t>
  </si>
  <si>
    <t>Номерной знак К10-125Л</t>
  </si>
  <si>
    <t>Светильник Вега  100Вт</t>
  </si>
  <si>
    <t>Лампа накаливания 100 Вт</t>
  </si>
  <si>
    <t>Коробка ответвительная пластмассовая для открытой прокладки кабелей, IP44 У409</t>
  </si>
  <si>
    <t>Установка крюков для подвешивания светильников</t>
  </si>
  <si>
    <t>Зажим люстровый</t>
  </si>
  <si>
    <t>Крюк для подвески светильника</t>
  </si>
  <si>
    <t>22</t>
  </si>
  <si>
    <t>Монтаж зажимов без кожуха</t>
  </si>
  <si>
    <t>Наконечники  алюминиевые120 мм2</t>
  </si>
  <si>
    <t>Наконечники  алюминиевые95 мм2</t>
  </si>
  <si>
    <t>Наконечники  алюминиевые 70 мм2</t>
  </si>
  <si>
    <t>Наконечники  алюминиевые 50 мм2</t>
  </si>
  <si>
    <t>Наконечники  медные 35 мм2</t>
  </si>
  <si>
    <t>Наконечники  медные 50 мм2</t>
  </si>
  <si>
    <t>Наконечники  медные 70 мм2</t>
  </si>
  <si>
    <t>Наконечники  медные 150 мм2</t>
  </si>
  <si>
    <t>Проводник заземляющий из медного изолированного провода сечением 25 мм2 открыто по строительным основаниям</t>
  </si>
  <si>
    <t>Проводник заземляющий из медного изолированного провода сечением 4 мм2  по строительным основаниям</t>
  </si>
  <si>
    <t>УРАВНИВАНИЕ ПОТЕНЦИАЛОВ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</si>
  <si>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120</t>
  </si>
  <si>
    <t>Затягивание проводов в проложенные трубы и металлические рукава. Провод каждый последующий одножильный или многожильный в общей оплетке, суммарное сечение, мм2, до: 120</t>
  </si>
  <si>
    <t>Провод ПВ3 95 мм2</t>
  </si>
  <si>
    <t>Провод ПВ3 70 мм2</t>
  </si>
  <si>
    <t>Присоединение к зажимам жил проводов или кабелей. Провод или кабель сечением, мм2, до: 70</t>
  </si>
  <si>
    <t>Присоединение к зажимам жил проводов или кабелей. Провод или кабель сечением, мм2, до: 150</t>
  </si>
  <si>
    <t>Наконечники кабельные 2НБ-2х(сеч.70-120мм)</t>
  </si>
  <si>
    <t>Заземлитель горизонтальный из стали: полосовой сечением 160 мм2</t>
  </si>
  <si>
    <t>Сталь полоса 40*4</t>
  </si>
  <si>
    <t>Коробка установочная</t>
  </si>
  <si>
    <t>Светильник отдельно устанавливаемый на штырях с количеством ламп в светильнике: 2</t>
  </si>
  <si>
    <t xml:space="preserve">Светильники ЛСП 2х36 люминисцентные </t>
  </si>
  <si>
    <t>Лампы люминесцентные  ЛБ-36</t>
  </si>
  <si>
    <t>ПУСКО-НАЛАДОЧНЫЕ РАБОТЫ</t>
  </si>
  <si>
    <t>Начальник СДО                                                                     __________________Савостян Е.С.</t>
  </si>
  <si>
    <t>ЩО70-1-112ARS</t>
  </si>
  <si>
    <t>ЩО70-1-79 (ВППКВ-630-ЭМ55)</t>
  </si>
  <si>
    <t xml:space="preserve">Ориентировочный перечень и объем работ необходимый для производства работ на объекте.
ЖИЛОЙ ДОМ (1-4 и 6-9 секции)
</t>
  </si>
  <si>
    <t>ГРЩД1, ГРЩД2, ГРЩД3, ГРЩД4 (Электромонтаж-55) в составе:</t>
  </si>
  <si>
    <t>Трансформаторы ЗТ-0,66 800/6</t>
  </si>
  <si>
    <t>Трансформаторы ЗТ-0,66 300/6</t>
  </si>
  <si>
    <t>Счетчик типа ЦЭ2727/2Т 380В 5-50А</t>
  </si>
  <si>
    <t>ППЩ 1,2,3,4 с АВР</t>
  </si>
  <si>
    <t>Щит ШР1, ШР2(парковка)</t>
  </si>
  <si>
    <t>ЩРЭ-7(7)</t>
  </si>
  <si>
    <t>ЩРЭ-8(7) с рубильником ВР32-33 160А на вводе</t>
  </si>
  <si>
    <t>ЩРЭ-8(7) с рубильником ОТ200 200А на вводе</t>
  </si>
  <si>
    <t>ЩРЭ-8(8) с рубильником ОТ200 200А на вводе</t>
  </si>
  <si>
    <t>11.12</t>
  </si>
  <si>
    <t>11.13</t>
  </si>
  <si>
    <t>11.14</t>
  </si>
  <si>
    <t>11.15</t>
  </si>
  <si>
    <t>Шина медная Cu 60*8*1000</t>
  </si>
  <si>
    <t>14.3</t>
  </si>
  <si>
    <t>Труба ПВХ 63</t>
  </si>
  <si>
    <t>20.2</t>
  </si>
  <si>
    <t>21</t>
  </si>
  <si>
    <t>23.2</t>
  </si>
  <si>
    <t>Кабель силовой ВВГнг-FRLS 5х 1,5 мм3</t>
  </si>
  <si>
    <t>25.3</t>
  </si>
  <si>
    <t>27</t>
  </si>
  <si>
    <t>29.1</t>
  </si>
  <si>
    <t>Кабели до 35 кв с креплением накладными скобами, массой 1 м, кг, до: 1</t>
  </si>
  <si>
    <r>
      <t xml:space="preserve">Труба ПНД для электропроводок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>25 мм</t>
    </r>
  </si>
  <si>
    <r>
      <t xml:space="preserve">Труба ПНД для электропроводок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>32 мм</t>
    </r>
  </si>
  <si>
    <t>Коробка установочная в монолит</t>
  </si>
  <si>
    <t>Коробка ответвительная в монолит</t>
  </si>
  <si>
    <t>24</t>
  </si>
  <si>
    <t>Коробка под СУП (для 1-4 секции)</t>
  </si>
  <si>
    <t>29.2</t>
  </si>
  <si>
    <t>32.1</t>
  </si>
  <si>
    <t>38.1</t>
  </si>
  <si>
    <t>39.1</t>
  </si>
  <si>
    <t>40</t>
  </si>
  <si>
    <t>41</t>
  </si>
  <si>
    <t>43.1</t>
  </si>
  <si>
    <t>44.1</t>
  </si>
  <si>
    <t>45.1</t>
  </si>
  <si>
    <t>46.1</t>
  </si>
  <si>
    <t>40.1</t>
  </si>
  <si>
    <t>41.1</t>
  </si>
  <si>
    <t>42.1</t>
  </si>
  <si>
    <t>42.2</t>
  </si>
  <si>
    <t>Разработка грунта вручную в траншеях глубиной до 2 м без креплений с откосами, группа грунтов: 2 (V=0.25*0,7*631м+0,25*0,7*613)</t>
  </si>
  <si>
    <t>Песок для строительных работ природный, карьерный (с учетом доставки поставщиком) (Vп=1244*0,25*0,1)</t>
  </si>
  <si>
    <t>48.1</t>
  </si>
  <si>
    <t>Песок для строительных работ природный, карьерный (с учетом доставки поставщиком) (Vп=1244*0,25*0,15)</t>
  </si>
  <si>
    <t>50.1</t>
  </si>
  <si>
    <t>50.2</t>
  </si>
  <si>
    <t>50.3</t>
  </si>
  <si>
    <t>50.4</t>
  </si>
  <si>
    <t>51.1</t>
  </si>
  <si>
    <t>52.1</t>
  </si>
  <si>
    <t>53</t>
  </si>
  <si>
    <t>53.1</t>
  </si>
  <si>
    <t>54</t>
  </si>
  <si>
    <t>55</t>
  </si>
  <si>
    <t>56</t>
  </si>
  <si>
    <t>57</t>
  </si>
  <si>
    <t>Наконечники  медные 95 мм2</t>
  </si>
  <si>
    <t>3.6</t>
  </si>
  <si>
    <t>3.7</t>
  </si>
  <si>
    <t>4.3</t>
  </si>
  <si>
    <t>ИТОГО:</t>
  </si>
  <si>
    <t>ИТОГО ПО РАЗДЕЛУ:</t>
  </si>
  <si>
    <t>27.2</t>
  </si>
  <si>
    <t>27.3</t>
  </si>
  <si>
    <t>27.4</t>
  </si>
  <si>
    <t>27.5</t>
  </si>
  <si>
    <t>27.6</t>
  </si>
  <si>
    <t>27.7</t>
  </si>
  <si>
    <t>27.8</t>
  </si>
  <si>
    <t>27.9</t>
  </si>
  <si>
    <t>28.2</t>
  </si>
  <si>
    <t>28.3</t>
  </si>
  <si>
    <t>28.4</t>
  </si>
  <si>
    <t>29.3</t>
  </si>
  <si>
    <t>29.4</t>
  </si>
  <si>
    <t>29.5</t>
  </si>
  <si>
    <t>29.6</t>
  </si>
  <si>
    <t>30.2</t>
  </si>
  <si>
    <t>30.3</t>
  </si>
  <si>
    <t>30.4</t>
  </si>
  <si>
    <t>31.2</t>
  </si>
  <si>
    <t>31.3</t>
  </si>
  <si>
    <t>31.4</t>
  </si>
  <si>
    <t>40.2</t>
  </si>
  <si>
    <t>40.3</t>
  </si>
  <si>
    <t>40.4</t>
  </si>
  <si>
    <t>40.5</t>
  </si>
  <si>
    <t>42.3</t>
  </si>
  <si>
    <t>43.2</t>
  </si>
  <si>
    <t>46.2</t>
  </si>
  <si>
    <t>47.1</t>
  </si>
  <si>
    <t>47.2</t>
  </si>
  <si>
    <t>48.2</t>
  </si>
  <si>
    <t>50.5</t>
  </si>
  <si>
    <t>50.6</t>
  </si>
  <si>
    <t>51</t>
  </si>
  <si>
    <t>51.2</t>
  </si>
  <si>
    <t>52</t>
  </si>
  <si>
    <t>54.1</t>
  </si>
  <si>
    <t>55.1</t>
  </si>
  <si>
    <t>56.1</t>
  </si>
  <si>
    <t>57.1</t>
  </si>
  <si>
    <t>58</t>
  </si>
  <si>
    <t>58.1</t>
  </si>
  <si>
    <t>59</t>
  </si>
  <si>
    <t>59.1</t>
  </si>
  <si>
    <t>60</t>
  </si>
  <si>
    <t>60.1</t>
  </si>
  <si>
    <t>60.2</t>
  </si>
  <si>
    <t>61</t>
  </si>
  <si>
    <t>61.1</t>
  </si>
  <si>
    <t>62</t>
  </si>
  <si>
    <t>62.1</t>
  </si>
  <si>
    <t>63</t>
  </si>
  <si>
    <t>63.1</t>
  </si>
  <si>
    <t>63.2</t>
  </si>
  <si>
    <t>64.1</t>
  </si>
  <si>
    <t>66</t>
  </si>
  <si>
    <t>66.1</t>
  </si>
  <si>
    <t>67</t>
  </si>
  <si>
    <t>67.1</t>
  </si>
  <si>
    <t>68</t>
  </si>
  <si>
    <t>68.1</t>
  </si>
  <si>
    <t>68.2</t>
  </si>
  <si>
    <t>68.3</t>
  </si>
  <si>
    <t>68.4</t>
  </si>
  <si>
    <t>69.1</t>
  </si>
  <si>
    <t>70.1</t>
  </si>
  <si>
    <t>71</t>
  </si>
  <si>
    <t>71.1</t>
  </si>
  <si>
    <t>72</t>
  </si>
  <si>
    <t>73</t>
  </si>
  <si>
    <t>74</t>
  </si>
  <si>
    <t>75</t>
  </si>
  <si>
    <t>76.1</t>
  </si>
  <si>
    <t>76.2</t>
  </si>
  <si>
    <t>76.3</t>
  </si>
  <si>
    <t>76.4</t>
  </si>
  <si>
    <t>77</t>
  </si>
  <si>
    <t>77.1</t>
  </si>
  <si>
    <t>78</t>
  </si>
  <si>
    <t>78.1</t>
  </si>
  <si>
    <t>79</t>
  </si>
  <si>
    <t>79.1</t>
  </si>
  <si>
    <t>80</t>
  </si>
  <si>
    <t>80.1</t>
  </si>
  <si>
    <t>81</t>
  </si>
  <si>
    <t>81.1</t>
  </si>
  <si>
    <t>82</t>
  </si>
  <si>
    <t>82.1</t>
  </si>
  <si>
    <t>83</t>
  </si>
  <si>
    <t>83.1</t>
  </si>
  <si>
    <t>84</t>
  </si>
  <si>
    <t>84.1</t>
  </si>
  <si>
    <t>84.2</t>
  </si>
  <si>
    <t>ИТОГОПО РАЗДЕЛУ:</t>
  </si>
  <si>
    <t>Труба ПВХ гофра диаметр 16 мм</t>
  </si>
  <si>
    <t>Провод в резинобитумных трубках. Провод, количество проводов в трубке до 3, сечение провода, мм2, до: 6 (для секций 6-9 прокладка в газобетонных стенах )</t>
  </si>
  <si>
    <t>Монтаж труб ПНД в тело монолита (секции 1-4, секции 6-9 труба в монолит заложена)</t>
  </si>
  <si>
    <t>46.3</t>
  </si>
  <si>
    <t>46.4</t>
  </si>
  <si>
    <t>48.3</t>
  </si>
  <si>
    <t>Труба ПВХ40</t>
  </si>
  <si>
    <t>Щит ВРУ1</t>
  </si>
  <si>
    <t>Щит ВРУ2</t>
  </si>
  <si>
    <t>Щит ВРУ3</t>
  </si>
  <si>
    <t>Щит ВРУ4</t>
  </si>
  <si>
    <t>81.2</t>
  </si>
  <si>
    <t>81.3</t>
  </si>
  <si>
    <t>81.4</t>
  </si>
  <si>
    <r>
      <t xml:space="preserve">Монтаж кабеля в трубе ПВХ </t>
    </r>
    <r>
      <rPr>
        <b/>
        <sz val="10"/>
        <color theme="1"/>
        <rFont val="Calibri"/>
        <family val="2"/>
        <charset val="204"/>
      </rPr>
      <t>Ø</t>
    </r>
    <r>
      <rPr>
        <b/>
        <sz val="10"/>
        <color theme="1"/>
        <rFont val="Times New Roman"/>
        <family val="1"/>
        <charset val="204"/>
      </rPr>
      <t xml:space="preserve"> 25 мм, суммарное сечение, мм2, до: 16</t>
    </r>
  </si>
  <si>
    <t>Кабель силовой ВВГнг-LS 5*4</t>
  </si>
  <si>
    <r>
      <t xml:space="preserve">Монтаж кабеля в трубе ПВХ </t>
    </r>
    <r>
      <rPr>
        <b/>
        <sz val="10"/>
        <color theme="1"/>
        <rFont val="Calibri"/>
        <family val="2"/>
        <charset val="204"/>
      </rPr>
      <t>Ø</t>
    </r>
    <r>
      <rPr>
        <b/>
        <sz val="10"/>
        <color theme="1"/>
        <rFont val="Times New Roman"/>
        <family val="1"/>
        <charset val="204"/>
      </rPr>
      <t xml:space="preserve"> 25 мм, суммарное сечение, мм2, до: 20</t>
    </r>
  </si>
  <si>
    <r>
      <t xml:space="preserve">Труба ПВХ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25 мм</t>
    </r>
  </si>
  <si>
    <t>80.2</t>
  </si>
  <si>
    <t>83.2</t>
  </si>
  <si>
    <t>83.3</t>
  </si>
  <si>
    <t>85</t>
  </si>
  <si>
    <t>85.1</t>
  </si>
  <si>
    <t>86</t>
  </si>
  <si>
    <t>86.1</t>
  </si>
  <si>
    <t>86.2</t>
  </si>
  <si>
    <t>86.3</t>
  </si>
  <si>
    <t>49</t>
  </si>
  <si>
    <t>Монтаж выключателей нагрузки</t>
  </si>
  <si>
    <t>49.1</t>
  </si>
  <si>
    <t>49.2</t>
  </si>
  <si>
    <t>Выключатель нагрузки ВН-32</t>
  </si>
  <si>
    <t>Бокс пластиковый</t>
  </si>
  <si>
    <t>87.1</t>
  </si>
  <si>
    <t>87.2</t>
  </si>
  <si>
    <t xml:space="preserve">ПНР, в т.ч. лабораторные измерения: </t>
  </si>
  <si>
    <t>ПНР секции 6-9</t>
  </si>
  <si>
    <t>ПНР секции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</si>
</sst>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3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5" fillId="7" borderId="18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4" fontId="11" fillId="3" borderId="26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6" borderId="36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2" fillId="5" borderId="2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10" fillId="8" borderId="15" xfId="0" applyNumberFormat="1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7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6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5" fillId="5" borderId="42" xfId="0" applyNumberFormat="1" applyFont="1" applyFill="1" applyBorder="1" applyAlignment="1">
      <alignment horizontal="center" vertical="center" wrapText="1"/>
    </xf>
    <xf numFmtId="4" fontId="2" fillId="7" borderId="44" xfId="0" applyNumberFormat="1" applyFont="1" applyFill="1" applyBorder="1" applyAlignment="1">
      <alignment horizontal="center" vertical="center" wrapText="1"/>
    </xf>
    <xf numFmtId="4" fontId="2" fillId="5" borderId="4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2" fillId="5" borderId="42" xfId="0" applyNumberFormat="1" applyFont="1" applyFill="1" applyBorder="1" applyAlignment="1">
      <alignment horizontal="center" vertical="center" wrapText="1"/>
    </xf>
    <xf numFmtId="4" fontId="2" fillId="5" borderId="43" xfId="0" applyNumberFormat="1" applyFont="1" applyFill="1" applyBorder="1" applyAlignment="1">
      <alignment horizontal="center" vertical="center" wrapText="1"/>
    </xf>
    <xf numFmtId="4" fontId="2" fillId="5" borderId="36" xfId="0" applyNumberFormat="1" applyFont="1" applyFill="1" applyBorder="1" applyAlignment="1">
      <alignment horizontal="center" vertical="center" wrapText="1"/>
    </xf>
    <xf numFmtId="4" fontId="2" fillId="7" borderId="16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5" borderId="46" xfId="0" applyNumberFormat="1" applyFont="1" applyFill="1" applyBorder="1" applyAlignment="1">
      <alignment horizontal="center" vertical="center" wrapText="1"/>
    </xf>
    <xf numFmtId="4" fontId="2" fillId="7" borderId="4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4" fontId="5" fillId="7" borderId="4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5" fillId="5" borderId="44" xfId="0" applyNumberFormat="1" applyFont="1" applyFill="1" applyBorder="1" applyAlignment="1">
      <alignment horizontal="center" vertical="center" wrapText="1"/>
    </xf>
    <xf numFmtId="4" fontId="2" fillId="7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49" fontId="3" fillId="5" borderId="28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vertical="center" wrapText="1"/>
    </xf>
    <xf numFmtId="4" fontId="5" fillId="5" borderId="29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5" fillId="7" borderId="30" xfId="0" applyNumberFormat="1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5" borderId="39" xfId="0" applyNumberFormat="1" applyFont="1" applyFill="1" applyBorder="1" applyAlignment="1">
      <alignment horizontal="center" vertical="center" wrapText="1"/>
    </xf>
    <xf numFmtId="4" fontId="2" fillId="5" borderId="40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5" fillId="5" borderId="36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5" borderId="43" xfId="0" applyNumberFormat="1" applyFont="1" applyFill="1" applyBorder="1" applyAlignment="1">
      <alignment horizontal="center" vertical="center" wrapText="1"/>
    </xf>
    <xf numFmtId="4" fontId="5" fillId="4" borderId="45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2" fillId="6" borderId="46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4" fontId="2" fillId="7" borderId="30" xfId="0" applyNumberFormat="1" applyFont="1" applyFill="1" applyBorder="1" applyAlignment="1">
      <alignment horizontal="center" vertical="center" wrapText="1"/>
    </xf>
    <xf numFmtId="4" fontId="2" fillId="5" borderId="52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19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3" fontId="28" fillId="0" borderId="0" xfId="0" applyNumberFormat="1" applyFont="1"/>
    <xf numFmtId="4" fontId="5" fillId="7" borderId="29" xfId="0" applyNumberFormat="1" applyFont="1" applyFill="1" applyBorder="1" applyAlignment="1">
      <alignment horizontal="center" vertical="center" wrapText="1"/>
    </xf>
    <xf numFmtId="4" fontId="2" fillId="5" borderId="30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2" fillId="6" borderId="5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 wrapText="1"/>
    </xf>
    <xf numFmtId="4" fontId="5" fillId="5" borderId="45" xfId="0" applyNumberFormat="1" applyFont="1" applyFill="1" applyBorder="1" applyAlignment="1">
      <alignment horizontal="center" vertical="center" wrapText="1"/>
    </xf>
    <xf numFmtId="49" fontId="3" fillId="5" borderId="53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4" fontId="2" fillId="6" borderId="32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4" fontId="5" fillId="0" borderId="58" xfId="0" applyNumberFormat="1" applyFont="1" applyBorder="1" applyAlignment="1">
      <alignment horizontal="center" vertical="center" wrapText="1"/>
    </xf>
    <xf numFmtId="4" fontId="5" fillId="5" borderId="57" xfId="0" applyNumberFormat="1" applyFont="1" applyFill="1" applyBorder="1" applyAlignment="1">
      <alignment horizontal="center" vertical="center" wrapText="1"/>
    </xf>
    <xf numFmtId="4" fontId="2" fillId="5" borderId="55" xfId="0" applyNumberFormat="1" applyFont="1" applyFill="1" applyBorder="1" applyAlignment="1">
      <alignment horizontal="center" vertical="center" wrapText="1"/>
    </xf>
    <xf numFmtId="4" fontId="2" fillId="5" borderId="54" xfId="0" applyNumberFormat="1" applyFont="1" applyFill="1" applyBorder="1" applyAlignment="1">
      <alignment horizontal="center" vertical="center" wrapText="1"/>
    </xf>
    <xf numFmtId="4" fontId="5" fillId="5" borderId="60" xfId="0" applyNumberFormat="1" applyFont="1" applyFill="1" applyBorder="1" applyAlignment="1">
      <alignment horizontal="center" vertical="center" wrapText="1"/>
    </xf>
    <xf numFmtId="4" fontId="5" fillId="5" borderId="58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" fontId="3" fillId="6" borderId="46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4" fontId="5" fillId="5" borderId="46" xfId="0" applyNumberFormat="1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4" fontId="5" fillId="4" borderId="6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4" fontId="5" fillId="5" borderId="62" xfId="0" applyNumberFormat="1" applyFont="1" applyFill="1" applyBorder="1" applyAlignment="1">
      <alignment horizontal="center" vertic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4" fontId="2" fillId="5" borderId="6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4" fontId="5" fillId="3" borderId="46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4" fontId="11" fillId="5" borderId="19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wrapText="1"/>
    </xf>
    <xf numFmtId="49" fontId="4" fillId="5" borderId="28" xfId="0" applyNumberFormat="1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3" fontId="4" fillId="5" borderId="24" xfId="0" applyNumberFormat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justify" vertical="center"/>
    </xf>
    <xf numFmtId="0" fontId="3" fillId="5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center" vertical="center" wrapText="1"/>
    </xf>
    <xf numFmtId="4" fontId="2" fillId="5" borderId="21" xfId="0" applyNumberFormat="1" applyFont="1" applyFill="1" applyBorder="1" applyAlignment="1">
      <alignment horizontal="center" vertical="center" wrapText="1"/>
    </xf>
    <xf numFmtId="49" fontId="4" fillId="5" borderId="33" xfId="0" applyNumberFormat="1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 wrapText="1"/>
    </xf>
    <xf numFmtId="49" fontId="4" fillId="5" borderId="24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48" xfId="0" applyFont="1" applyFill="1" applyBorder="1" applyAlignment="1">
      <alignment horizontal="center" vertical="center" wrapText="1"/>
    </xf>
    <xf numFmtId="1" fontId="4" fillId="5" borderId="24" xfId="0" applyNumberFormat="1" applyFont="1" applyFill="1" applyBorder="1" applyAlignment="1">
      <alignment horizontal="center" vertical="center" wrapText="1"/>
    </xf>
    <xf numFmtId="0" fontId="17" fillId="5" borderId="14" xfId="1" applyFont="1" applyFill="1" applyBorder="1" applyAlignment="1">
      <alignment horizontal="justify" vertical="center"/>
    </xf>
    <xf numFmtId="0" fontId="9" fillId="5" borderId="12" xfId="0" applyFont="1" applyFill="1" applyBorder="1" applyAlignment="1">
      <alignment horizontal="center" vertical="center" wrapText="1"/>
    </xf>
    <xf numFmtId="3" fontId="3" fillId="5" borderId="24" xfId="0" applyNumberFormat="1" applyFont="1" applyFill="1" applyBorder="1" applyAlignment="1">
      <alignment horizontal="center" vertical="center" wrapText="1"/>
    </xf>
    <xf numFmtId="49" fontId="4" fillId="5" borderId="47" xfId="0" applyNumberFormat="1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49" fontId="3" fillId="5" borderId="47" xfId="0" applyNumberFormat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4" fontId="5" fillId="7" borderId="19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left" vertical="center" wrapText="1"/>
    </xf>
    <xf numFmtId="49" fontId="7" fillId="5" borderId="8" xfId="0" applyNumberFormat="1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315"/>
  <sheetViews>
    <sheetView tabSelected="1" zoomScaleNormal="100" workbookViewId="0">
      <selection activeCell="J291" sqref="J291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6.140625" style="2" customWidth="1"/>
    <col min="4" max="4" width="11.42578125" style="2" bestFit="1" customWidth="1"/>
    <col min="5" max="7" width="11.140625" style="1" customWidth="1"/>
    <col min="8" max="10" width="16.710937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286" t="s">
        <v>21</v>
      </c>
      <c r="J1" s="287"/>
      <c r="K1" s="287"/>
      <c r="L1" s="287"/>
      <c r="M1" s="287"/>
      <c r="N1" s="287"/>
    </row>
    <row r="3" spans="1:14" ht="50.25" customHeight="1" x14ac:dyDescent="0.25">
      <c r="A3" s="288" t="s">
        <v>372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15.75" thickBot="1" x14ac:dyDescent="0.3"/>
    <row r="5" spans="1:14" s="1" customFormat="1" x14ac:dyDescent="0.25">
      <c r="A5" s="289" t="s">
        <v>0</v>
      </c>
      <c r="B5" s="289" t="s">
        <v>1</v>
      </c>
      <c r="C5" s="289" t="s">
        <v>12</v>
      </c>
      <c r="D5" s="289" t="s">
        <v>2</v>
      </c>
      <c r="E5" s="291" t="s">
        <v>3</v>
      </c>
      <c r="F5" s="292"/>
      <c r="G5" s="293"/>
      <c r="H5" s="294" t="s">
        <v>6</v>
      </c>
      <c r="I5" s="292"/>
      <c r="J5" s="293"/>
      <c r="K5" s="295" t="s">
        <v>25</v>
      </c>
      <c r="L5" s="295" t="s">
        <v>22</v>
      </c>
      <c r="M5" s="295" t="s">
        <v>23</v>
      </c>
      <c r="N5" s="295" t="s">
        <v>24</v>
      </c>
    </row>
    <row r="6" spans="1:14" s="1" customFormat="1" ht="29.25" thickBot="1" x14ac:dyDescent="0.3">
      <c r="A6" s="290"/>
      <c r="B6" s="290"/>
      <c r="C6" s="290"/>
      <c r="D6" s="290"/>
      <c r="E6" s="58" t="s">
        <v>7</v>
      </c>
      <c r="F6" s="59" t="s">
        <v>29</v>
      </c>
      <c r="G6" s="60" t="s">
        <v>5</v>
      </c>
      <c r="H6" s="61" t="s">
        <v>4</v>
      </c>
      <c r="I6" s="59" t="s">
        <v>29</v>
      </c>
      <c r="J6" s="60" t="s">
        <v>5</v>
      </c>
      <c r="K6" s="296"/>
      <c r="L6" s="296"/>
      <c r="M6" s="296"/>
      <c r="N6" s="296"/>
    </row>
    <row r="7" spans="1:14" ht="15.75" hidden="1" outlineLevel="1" thickBot="1" x14ac:dyDescent="0.3">
      <c r="A7" s="64">
        <v>1</v>
      </c>
      <c r="B7" s="14" t="s">
        <v>9</v>
      </c>
      <c r="C7" s="64" t="s">
        <v>11</v>
      </c>
      <c r="D7" s="63">
        <v>1</v>
      </c>
      <c r="E7" s="56"/>
      <c r="F7" s="30"/>
      <c r="G7" s="62">
        <v>4</v>
      </c>
      <c r="H7" s="56">
        <f t="shared" ref="H7:H15" si="0">D7*E7</f>
        <v>0</v>
      </c>
      <c r="I7" s="30">
        <f>D7*F7</f>
        <v>0</v>
      </c>
      <c r="J7" s="57">
        <f t="shared" ref="J7:J15" si="1">D7*G7</f>
        <v>4</v>
      </c>
    </row>
    <row r="8" spans="1:14" ht="15.75" hidden="1" outlineLevel="1" thickBot="1" x14ac:dyDescent="0.3">
      <c r="A8" s="6">
        <v>2</v>
      </c>
      <c r="B8" s="12" t="s">
        <v>10</v>
      </c>
      <c r="C8" s="6" t="s">
        <v>11</v>
      </c>
      <c r="D8" s="8">
        <v>1</v>
      </c>
      <c r="E8" s="9">
        <v>2</v>
      </c>
      <c r="F8" s="10">
        <v>1</v>
      </c>
      <c r="G8" s="11"/>
      <c r="H8" s="9">
        <f t="shared" si="0"/>
        <v>2</v>
      </c>
      <c r="I8" s="10">
        <f>D8*F8</f>
        <v>1</v>
      </c>
      <c r="J8" s="11">
        <f t="shared" si="1"/>
        <v>0</v>
      </c>
    </row>
    <row r="9" spans="1:14" ht="15.75" hidden="1" outlineLevel="1" thickBot="1" x14ac:dyDescent="0.3">
      <c r="A9" s="6">
        <v>3</v>
      </c>
      <c r="B9" s="12" t="s">
        <v>13</v>
      </c>
      <c r="C9" s="6" t="s">
        <v>14</v>
      </c>
      <c r="D9" s="8">
        <v>2</v>
      </c>
      <c r="E9" s="9">
        <v>1</v>
      </c>
      <c r="F9" s="10">
        <v>0.5</v>
      </c>
      <c r="G9" s="11"/>
      <c r="H9" s="9">
        <f t="shared" si="0"/>
        <v>2</v>
      </c>
      <c r="I9" s="10">
        <f t="shared" ref="I9:I15" si="2">D9*F9</f>
        <v>1</v>
      </c>
      <c r="J9" s="11">
        <f t="shared" si="1"/>
        <v>0</v>
      </c>
    </row>
    <row r="10" spans="1:14" ht="16.5" hidden="1" customHeight="1" outlineLevel="1" x14ac:dyDescent="0.25">
      <c r="A10" s="6">
        <v>4</v>
      </c>
      <c r="B10" s="7"/>
      <c r="C10" s="6"/>
      <c r="D10" s="8"/>
      <c r="E10" s="9"/>
      <c r="F10" s="10"/>
      <c r="G10" s="11"/>
      <c r="H10" s="9">
        <f t="shared" si="0"/>
        <v>0</v>
      </c>
      <c r="I10" s="10">
        <f t="shared" si="2"/>
        <v>0</v>
      </c>
      <c r="J10" s="11">
        <f t="shared" si="1"/>
        <v>0</v>
      </c>
    </row>
    <row r="11" spans="1:14" ht="15.75" hidden="1" outlineLevel="1" thickBot="1" x14ac:dyDescent="0.3">
      <c r="A11" s="6">
        <v>5</v>
      </c>
      <c r="B11" s="7"/>
      <c r="C11" s="6"/>
      <c r="D11" s="8"/>
      <c r="E11" s="9"/>
      <c r="F11" s="10"/>
      <c r="G11" s="11"/>
      <c r="H11" s="9">
        <f t="shared" si="0"/>
        <v>0</v>
      </c>
      <c r="I11" s="10">
        <f t="shared" si="2"/>
        <v>0</v>
      </c>
      <c r="J11" s="11">
        <f t="shared" si="1"/>
        <v>0</v>
      </c>
    </row>
    <row r="12" spans="1:14" ht="15.75" hidden="1" outlineLevel="1" thickBot="1" x14ac:dyDescent="0.3">
      <c r="A12" s="6">
        <v>6</v>
      </c>
      <c r="B12" s="7"/>
      <c r="C12" s="6"/>
      <c r="D12" s="8"/>
      <c r="E12" s="9"/>
      <c r="F12" s="10"/>
      <c r="G12" s="11"/>
      <c r="H12" s="9">
        <f t="shared" si="0"/>
        <v>0</v>
      </c>
      <c r="I12" s="10">
        <f t="shared" si="2"/>
        <v>0</v>
      </c>
      <c r="J12" s="11">
        <f t="shared" si="1"/>
        <v>0</v>
      </c>
    </row>
    <row r="13" spans="1:14" ht="15.75" hidden="1" outlineLevel="1" thickBot="1" x14ac:dyDescent="0.3">
      <c r="A13" s="6">
        <v>7</v>
      </c>
      <c r="B13" s="7"/>
      <c r="C13" s="6"/>
      <c r="D13" s="8"/>
      <c r="E13" s="9"/>
      <c r="F13" s="10"/>
      <c r="G13" s="11"/>
      <c r="H13" s="9">
        <f t="shared" si="0"/>
        <v>0</v>
      </c>
      <c r="I13" s="10">
        <f t="shared" si="2"/>
        <v>0</v>
      </c>
      <c r="J13" s="11">
        <f t="shared" si="1"/>
        <v>0</v>
      </c>
    </row>
    <row r="14" spans="1:14" ht="15.75" hidden="1" outlineLevel="1" thickBot="1" x14ac:dyDescent="0.3">
      <c r="A14" s="6">
        <v>8</v>
      </c>
      <c r="B14" s="7"/>
      <c r="C14" s="6"/>
      <c r="D14" s="8"/>
      <c r="E14" s="9"/>
      <c r="F14" s="10"/>
      <c r="G14" s="11"/>
      <c r="H14" s="9">
        <f t="shared" si="0"/>
        <v>0</v>
      </c>
      <c r="I14" s="10">
        <f t="shared" si="2"/>
        <v>0</v>
      </c>
      <c r="J14" s="11">
        <f t="shared" si="1"/>
        <v>0</v>
      </c>
    </row>
    <row r="15" spans="1:14" ht="15.75" hidden="1" outlineLevel="1" thickBot="1" x14ac:dyDescent="0.3">
      <c r="A15" s="6">
        <v>9</v>
      </c>
      <c r="B15" s="7"/>
      <c r="C15" s="6"/>
      <c r="D15" s="8"/>
      <c r="E15" s="9"/>
      <c r="F15" s="10"/>
      <c r="G15" s="11"/>
      <c r="H15" s="9">
        <f t="shared" si="0"/>
        <v>0</v>
      </c>
      <c r="I15" s="10">
        <f t="shared" si="2"/>
        <v>0</v>
      </c>
      <c r="J15" s="11">
        <f t="shared" si="1"/>
        <v>0</v>
      </c>
    </row>
    <row r="16" spans="1:14" ht="15.75" hidden="1" outlineLevel="1" thickBot="1" x14ac:dyDescent="0.3">
      <c r="A16" s="7"/>
      <c r="B16" s="13" t="s">
        <v>8</v>
      </c>
      <c r="C16" s="6"/>
      <c r="D16" s="8"/>
      <c r="E16" s="9"/>
      <c r="F16" s="10"/>
      <c r="G16" s="11"/>
      <c r="H16" s="3">
        <f>SUM(H7:H15)</f>
        <v>4</v>
      </c>
      <c r="I16" s="4">
        <f t="shared" ref="I16" si="3">SUM(I7:I15)</f>
        <v>2</v>
      </c>
      <c r="J16" s="5">
        <f>SUM(J7:J15)</f>
        <v>4</v>
      </c>
    </row>
    <row r="17" spans="1:14" ht="15.75" hidden="1" outlineLevel="1" thickBot="1" x14ac:dyDescent="0.3"/>
    <row r="18" spans="1:14" ht="15.75" hidden="1" outlineLevel="1" thickBot="1" x14ac:dyDescent="0.3"/>
    <row r="19" spans="1:14" ht="15.75" hidden="1" outlineLevel="1" thickBot="1" x14ac:dyDescent="0.3"/>
    <row r="20" spans="1:14" ht="17.25" customHeight="1" collapsed="1" thickBot="1" x14ac:dyDescent="0.3">
      <c r="A20" s="15"/>
      <c r="B20" s="297" t="s">
        <v>123</v>
      </c>
      <c r="C20" s="297"/>
      <c r="D20" s="297"/>
      <c r="E20" s="297"/>
      <c r="F20" s="28"/>
      <c r="G20" s="28"/>
      <c r="H20" s="28"/>
      <c r="I20" s="28"/>
      <c r="J20" s="29"/>
      <c r="K20" s="52"/>
      <c r="L20" s="26"/>
      <c r="M20" s="26"/>
      <c r="N20" s="27"/>
    </row>
    <row r="21" spans="1:14" ht="40.5" customHeight="1" x14ac:dyDescent="0.25">
      <c r="A21" s="241">
        <v>1</v>
      </c>
      <c r="B21" s="242" t="s">
        <v>99</v>
      </c>
      <c r="C21" s="243" t="s">
        <v>100</v>
      </c>
      <c r="D21" s="241">
        <v>15.32</v>
      </c>
      <c r="E21" s="31"/>
      <c r="F21" s="32"/>
      <c r="G21" s="33" t="s">
        <v>20</v>
      </c>
      <c r="H21" s="31"/>
      <c r="I21" s="32"/>
      <c r="J21" s="191" t="e">
        <f t="shared" ref="J21" si="4">D21*G21</f>
        <v>#VALUE!</v>
      </c>
      <c r="K21" s="53"/>
      <c r="L21" s="53"/>
      <c r="M21" s="53"/>
      <c r="N21" s="53"/>
    </row>
    <row r="22" spans="1:14" ht="25.5" x14ac:dyDescent="0.25">
      <c r="A22" s="129" t="s">
        <v>16</v>
      </c>
      <c r="B22" s="130" t="s">
        <v>373</v>
      </c>
      <c r="C22" s="131"/>
      <c r="D22" s="131"/>
      <c r="E22" s="100"/>
      <c r="F22" s="35"/>
      <c r="G22" s="36"/>
      <c r="H22" s="111"/>
      <c r="I22" s="112"/>
      <c r="J22" s="51"/>
      <c r="K22" s="24" t="s">
        <v>30</v>
      </c>
      <c r="L22" s="54"/>
      <c r="M22" s="54"/>
      <c r="N22" s="54"/>
    </row>
    <row r="23" spans="1:14" x14ac:dyDescent="0.25">
      <c r="A23" s="129" t="s">
        <v>101</v>
      </c>
      <c r="B23" s="130" t="s">
        <v>370</v>
      </c>
      <c r="C23" s="131" t="s">
        <v>14</v>
      </c>
      <c r="D23" s="131">
        <v>8</v>
      </c>
      <c r="E23" s="34" t="s">
        <v>19</v>
      </c>
      <c r="F23" s="35"/>
      <c r="G23" s="36"/>
      <c r="H23" s="37" t="e">
        <f t="shared" ref="H23:H82" si="5">D23*E23</f>
        <v>#VALUE!</v>
      </c>
      <c r="I23" s="38">
        <f t="shared" ref="I23:I26" si="6">D23*F23</f>
        <v>0</v>
      </c>
      <c r="J23" s="51"/>
      <c r="K23" s="24" t="s">
        <v>30</v>
      </c>
      <c r="L23" s="54"/>
      <c r="M23" s="54"/>
      <c r="N23" s="54"/>
    </row>
    <row r="24" spans="1:14" x14ac:dyDescent="0.25">
      <c r="A24" s="129" t="s">
        <v>102</v>
      </c>
      <c r="B24" s="132" t="s">
        <v>371</v>
      </c>
      <c r="C24" s="131" t="s">
        <v>14</v>
      </c>
      <c r="D24" s="131">
        <v>8</v>
      </c>
      <c r="E24" s="34" t="s">
        <v>19</v>
      </c>
      <c r="F24" s="35"/>
      <c r="G24" s="36"/>
      <c r="H24" s="37" t="e">
        <f t="shared" si="5"/>
        <v>#VALUE!</v>
      </c>
      <c r="I24" s="38">
        <f t="shared" si="6"/>
        <v>0</v>
      </c>
      <c r="J24" s="51"/>
      <c r="K24" s="24" t="s">
        <v>30</v>
      </c>
      <c r="L24" s="54"/>
      <c r="M24" s="54"/>
      <c r="N24" s="54"/>
    </row>
    <row r="25" spans="1:14" x14ac:dyDescent="0.25">
      <c r="A25" s="129" t="s">
        <v>103</v>
      </c>
      <c r="B25" s="132" t="s">
        <v>104</v>
      </c>
      <c r="C25" s="131" t="s">
        <v>14</v>
      </c>
      <c r="D25" s="131">
        <v>4</v>
      </c>
      <c r="E25" s="34" t="s">
        <v>19</v>
      </c>
      <c r="F25" s="35"/>
      <c r="G25" s="36"/>
      <c r="H25" s="37" t="e">
        <f t="shared" si="5"/>
        <v>#VALUE!</v>
      </c>
      <c r="I25" s="38">
        <f t="shared" si="6"/>
        <v>0</v>
      </c>
      <c r="J25" s="51"/>
      <c r="K25" s="24" t="s">
        <v>30</v>
      </c>
      <c r="L25" s="54"/>
      <c r="M25" s="54"/>
      <c r="N25" s="54"/>
    </row>
    <row r="26" spans="1:14" x14ac:dyDescent="0.25">
      <c r="A26" s="129" t="s">
        <v>105</v>
      </c>
      <c r="B26" s="132" t="s">
        <v>106</v>
      </c>
      <c r="C26" s="131" t="s">
        <v>14</v>
      </c>
      <c r="D26" s="131">
        <v>8</v>
      </c>
      <c r="E26" s="34" t="s">
        <v>19</v>
      </c>
      <c r="F26" s="35"/>
      <c r="G26" s="36"/>
      <c r="H26" s="37" t="e">
        <f t="shared" si="5"/>
        <v>#VALUE!</v>
      </c>
      <c r="I26" s="38">
        <f t="shared" si="6"/>
        <v>0</v>
      </c>
      <c r="J26" s="51"/>
      <c r="K26" s="24" t="s">
        <v>30</v>
      </c>
      <c r="L26" s="54"/>
      <c r="M26" s="54"/>
      <c r="N26" s="54"/>
    </row>
    <row r="27" spans="1:14" x14ac:dyDescent="0.25">
      <c r="A27" s="244" t="s">
        <v>45</v>
      </c>
      <c r="B27" s="245" t="s">
        <v>126</v>
      </c>
      <c r="C27" s="131" t="s">
        <v>54</v>
      </c>
      <c r="D27" s="133">
        <v>0.36</v>
      </c>
      <c r="E27" s="100"/>
      <c r="F27" s="35"/>
      <c r="G27" s="99" t="s">
        <v>20</v>
      </c>
      <c r="H27" s="111"/>
      <c r="I27" s="112"/>
      <c r="J27" s="151" t="e">
        <f>D27*G27</f>
        <v>#VALUE!</v>
      </c>
      <c r="K27" s="24"/>
      <c r="L27" s="54"/>
      <c r="M27" s="54"/>
      <c r="N27" s="54"/>
    </row>
    <row r="28" spans="1:14" ht="25.5" x14ac:dyDescent="0.25">
      <c r="A28" s="244" t="s">
        <v>46</v>
      </c>
      <c r="B28" s="245" t="s">
        <v>108</v>
      </c>
      <c r="C28" s="133" t="s">
        <v>14</v>
      </c>
      <c r="D28" s="133">
        <v>36</v>
      </c>
      <c r="E28" s="100"/>
      <c r="F28" s="94"/>
      <c r="G28" s="40" t="s">
        <v>20</v>
      </c>
      <c r="H28" s="100"/>
      <c r="I28" s="114"/>
      <c r="J28" s="151" t="e">
        <f>D28*G28</f>
        <v>#VALUE!</v>
      </c>
      <c r="K28" s="24"/>
      <c r="L28" s="54"/>
      <c r="M28" s="54"/>
      <c r="N28" s="54"/>
    </row>
    <row r="29" spans="1:14" x14ac:dyDescent="0.25">
      <c r="A29" s="129" t="s">
        <v>17</v>
      </c>
      <c r="B29" s="130" t="s">
        <v>111</v>
      </c>
      <c r="C29" s="131" t="s">
        <v>14</v>
      </c>
      <c r="D29" s="131">
        <v>18</v>
      </c>
      <c r="E29" s="34" t="s">
        <v>19</v>
      </c>
      <c r="F29" s="35"/>
      <c r="G29" s="98"/>
      <c r="H29" s="37" t="e">
        <f>D29*E29</f>
        <v>#VALUE!</v>
      </c>
      <c r="I29" s="38">
        <f>D29*F29</f>
        <v>0</v>
      </c>
      <c r="J29" s="113"/>
      <c r="K29" s="24" t="s">
        <v>30</v>
      </c>
      <c r="L29" s="54"/>
      <c r="M29" s="54"/>
      <c r="N29" s="54"/>
    </row>
    <row r="30" spans="1:14" x14ac:dyDescent="0.25">
      <c r="A30" s="129" t="s">
        <v>109</v>
      </c>
      <c r="B30" s="130" t="s">
        <v>112</v>
      </c>
      <c r="C30" s="131" t="s">
        <v>14</v>
      </c>
      <c r="D30" s="131">
        <v>18</v>
      </c>
      <c r="E30" s="34" t="s">
        <v>19</v>
      </c>
      <c r="F30" s="35"/>
      <c r="G30" s="98"/>
      <c r="H30" s="37" t="e">
        <f t="shared" ref="H30:H35" si="7">D30*E30</f>
        <v>#VALUE!</v>
      </c>
      <c r="I30" s="38">
        <f t="shared" ref="I30:I34" si="8">D30*F30</f>
        <v>0</v>
      </c>
      <c r="J30" s="113"/>
      <c r="K30" s="24" t="s">
        <v>30</v>
      </c>
      <c r="L30" s="54"/>
      <c r="M30" s="54"/>
      <c r="N30" s="54"/>
    </row>
    <row r="31" spans="1:14" x14ac:dyDescent="0.25">
      <c r="A31" s="129" t="s">
        <v>110</v>
      </c>
      <c r="B31" s="130" t="s">
        <v>374</v>
      </c>
      <c r="C31" s="131" t="s">
        <v>14</v>
      </c>
      <c r="D31" s="131">
        <v>6</v>
      </c>
      <c r="E31" s="34" t="s">
        <v>19</v>
      </c>
      <c r="F31" s="35"/>
      <c r="G31" s="98"/>
      <c r="H31" s="37" t="e">
        <f t="shared" si="7"/>
        <v>#VALUE!</v>
      </c>
      <c r="I31" s="38">
        <f t="shared" si="8"/>
        <v>0</v>
      </c>
      <c r="J31" s="113"/>
      <c r="K31" s="24" t="s">
        <v>30</v>
      </c>
      <c r="L31" s="54"/>
      <c r="M31" s="54"/>
      <c r="N31" s="54"/>
    </row>
    <row r="32" spans="1:14" x14ac:dyDescent="0.25">
      <c r="A32" s="129" t="s">
        <v>116</v>
      </c>
      <c r="B32" s="130" t="s">
        <v>113</v>
      </c>
      <c r="C32" s="131" t="s">
        <v>14</v>
      </c>
      <c r="D32" s="131">
        <v>9</v>
      </c>
      <c r="E32" s="34" t="s">
        <v>19</v>
      </c>
      <c r="F32" s="35"/>
      <c r="G32" s="98"/>
      <c r="H32" s="37" t="e">
        <f t="shared" si="7"/>
        <v>#VALUE!</v>
      </c>
      <c r="I32" s="38">
        <f t="shared" si="8"/>
        <v>0</v>
      </c>
      <c r="J32" s="113"/>
      <c r="K32" s="24" t="s">
        <v>30</v>
      </c>
      <c r="L32" s="54"/>
      <c r="M32" s="54"/>
      <c r="N32" s="54"/>
    </row>
    <row r="33" spans="1:14" x14ac:dyDescent="0.25">
      <c r="A33" s="129" t="s">
        <v>117</v>
      </c>
      <c r="B33" s="130" t="s">
        <v>114</v>
      </c>
      <c r="C33" s="131" t="s">
        <v>14</v>
      </c>
      <c r="D33" s="131">
        <v>12</v>
      </c>
      <c r="E33" s="34" t="s">
        <v>19</v>
      </c>
      <c r="F33" s="35"/>
      <c r="G33" s="98"/>
      <c r="H33" s="37" t="e">
        <f t="shared" si="7"/>
        <v>#VALUE!</v>
      </c>
      <c r="I33" s="38">
        <f t="shared" si="8"/>
        <v>0</v>
      </c>
      <c r="J33" s="113"/>
      <c r="K33" s="24" t="s">
        <v>30</v>
      </c>
      <c r="L33" s="54"/>
      <c r="M33" s="54"/>
      <c r="N33" s="54"/>
    </row>
    <row r="34" spans="1:14" x14ac:dyDescent="0.25">
      <c r="A34" s="129" t="s">
        <v>435</v>
      </c>
      <c r="B34" s="130" t="s">
        <v>375</v>
      </c>
      <c r="C34" s="131" t="s">
        <v>14</v>
      </c>
      <c r="D34" s="131">
        <v>3</v>
      </c>
      <c r="E34" s="34" t="s">
        <v>19</v>
      </c>
      <c r="F34" s="35"/>
      <c r="G34" s="98"/>
      <c r="H34" s="37" t="e">
        <f t="shared" si="7"/>
        <v>#VALUE!</v>
      </c>
      <c r="I34" s="38">
        <f t="shared" si="8"/>
        <v>0</v>
      </c>
      <c r="J34" s="113"/>
      <c r="K34" s="24" t="s">
        <v>30</v>
      </c>
      <c r="L34" s="54"/>
      <c r="M34" s="54"/>
      <c r="N34" s="54"/>
    </row>
    <row r="35" spans="1:14" x14ac:dyDescent="0.25">
      <c r="A35" s="129" t="s">
        <v>436</v>
      </c>
      <c r="B35" s="130" t="s">
        <v>115</v>
      </c>
      <c r="C35" s="131" t="s">
        <v>14</v>
      </c>
      <c r="D35" s="131">
        <v>3</v>
      </c>
      <c r="E35" s="34" t="s">
        <v>19</v>
      </c>
      <c r="F35" s="35"/>
      <c r="G35" s="36"/>
      <c r="H35" s="37" t="e">
        <f t="shared" si="7"/>
        <v>#VALUE!</v>
      </c>
      <c r="I35" s="38">
        <f>D35*F35</f>
        <v>0</v>
      </c>
      <c r="J35" s="51"/>
      <c r="K35" s="24" t="s">
        <v>30</v>
      </c>
      <c r="L35" s="54"/>
      <c r="M35" s="54"/>
      <c r="N35" s="54"/>
    </row>
    <row r="36" spans="1:14" ht="31.5" customHeight="1" x14ac:dyDescent="0.25">
      <c r="A36" s="244" t="s">
        <v>33</v>
      </c>
      <c r="B36" s="245" t="s">
        <v>118</v>
      </c>
      <c r="C36" s="131" t="s">
        <v>14</v>
      </c>
      <c r="D36" s="131">
        <v>27</v>
      </c>
      <c r="E36" s="100"/>
      <c r="F36" s="35"/>
      <c r="G36" s="99" t="s">
        <v>20</v>
      </c>
      <c r="H36" s="111"/>
      <c r="I36" s="112"/>
      <c r="J36" s="151" t="e">
        <f>D36*G36</f>
        <v>#VALUE!</v>
      </c>
      <c r="K36" s="24"/>
      <c r="L36" s="54"/>
      <c r="M36" s="54"/>
      <c r="N36" s="54"/>
    </row>
    <row r="37" spans="1:14" x14ac:dyDescent="0.25">
      <c r="A37" s="129" t="s">
        <v>34</v>
      </c>
      <c r="B37" s="130" t="s">
        <v>119</v>
      </c>
      <c r="C37" s="131" t="s">
        <v>14</v>
      </c>
      <c r="D37" s="131">
        <v>17</v>
      </c>
      <c r="E37" s="34" t="s">
        <v>19</v>
      </c>
      <c r="F37" s="35"/>
      <c r="G37" s="36"/>
      <c r="H37" s="37" t="e">
        <f>D37*E37</f>
        <v>#VALUE!</v>
      </c>
      <c r="I37" s="38">
        <f>D37*F37</f>
        <v>0</v>
      </c>
      <c r="J37" s="161"/>
      <c r="K37" s="24" t="s">
        <v>30</v>
      </c>
      <c r="L37" s="54"/>
      <c r="M37" s="54"/>
      <c r="N37" s="54"/>
    </row>
    <row r="38" spans="1:14" x14ac:dyDescent="0.25">
      <c r="A38" s="129" t="s">
        <v>35</v>
      </c>
      <c r="B38" s="130" t="s">
        <v>376</v>
      </c>
      <c r="C38" s="131" t="s">
        <v>14</v>
      </c>
      <c r="D38" s="131">
        <v>2</v>
      </c>
      <c r="E38" s="34" t="s">
        <v>19</v>
      </c>
      <c r="F38" s="35"/>
      <c r="G38" s="36"/>
      <c r="H38" s="37"/>
      <c r="I38" s="38">
        <f>D38*F38</f>
        <v>0</v>
      </c>
      <c r="J38" s="161"/>
      <c r="K38" s="24" t="s">
        <v>30</v>
      </c>
      <c r="L38" s="54"/>
      <c r="M38" s="54"/>
      <c r="N38" s="54"/>
    </row>
    <row r="39" spans="1:14" ht="11.25" customHeight="1" x14ac:dyDescent="0.25">
      <c r="A39" s="129" t="s">
        <v>437</v>
      </c>
      <c r="B39" s="130" t="s">
        <v>120</v>
      </c>
      <c r="C39" s="131" t="s">
        <v>14</v>
      </c>
      <c r="D39" s="131">
        <v>8</v>
      </c>
      <c r="E39" s="34" t="s">
        <v>19</v>
      </c>
      <c r="F39" s="35"/>
      <c r="G39" s="36"/>
      <c r="H39" s="37" t="e">
        <f>D39*E39</f>
        <v>#VALUE!</v>
      </c>
      <c r="I39" s="38">
        <f>D39*F39</f>
        <v>0</v>
      </c>
      <c r="J39" s="161"/>
      <c r="K39" s="24" t="s">
        <v>30</v>
      </c>
      <c r="L39" s="54"/>
      <c r="M39" s="54"/>
      <c r="N39" s="54"/>
    </row>
    <row r="40" spans="1:14" hidden="1" x14ac:dyDescent="0.25">
      <c r="A40" s="129"/>
      <c r="B40" s="130" t="s">
        <v>121</v>
      </c>
      <c r="C40" s="131" t="s">
        <v>14</v>
      </c>
      <c r="D40" s="131">
        <v>2</v>
      </c>
      <c r="E40" s="34"/>
      <c r="F40" s="35"/>
      <c r="G40" s="36"/>
      <c r="H40" s="37"/>
      <c r="I40" s="38"/>
      <c r="J40" s="161"/>
      <c r="K40" s="24"/>
      <c r="L40" s="54"/>
      <c r="M40" s="54"/>
      <c r="N40" s="54"/>
    </row>
    <row r="41" spans="1:14" ht="54" customHeight="1" x14ac:dyDescent="0.25">
      <c r="A41" s="133">
        <v>5</v>
      </c>
      <c r="B41" s="245" t="s">
        <v>122</v>
      </c>
      <c r="C41" s="133" t="s">
        <v>14</v>
      </c>
      <c r="D41" s="133">
        <v>4</v>
      </c>
      <c r="E41" s="39"/>
      <c r="F41" s="35"/>
      <c r="G41" s="40" t="s">
        <v>20</v>
      </c>
      <c r="H41" s="39"/>
      <c r="I41" s="35"/>
      <c r="J41" s="151" t="e">
        <f t="shared" ref="J41" si="9">D41*G41</f>
        <v>#VALUE!</v>
      </c>
      <c r="K41" s="54"/>
      <c r="L41" s="54"/>
      <c r="M41" s="54"/>
      <c r="N41" s="54"/>
    </row>
    <row r="42" spans="1:14" x14ac:dyDescent="0.25">
      <c r="A42" s="129" t="s">
        <v>36</v>
      </c>
      <c r="B42" s="130" t="s">
        <v>377</v>
      </c>
      <c r="C42" s="131" t="s">
        <v>14</v>
      </c>
      <c r="D42" s="131">
        <v>4</v>
      </c>
      <c r="E42" s="34" t="s">
        <v>19</v>
      </c>
      <c r="F42" s="35"/>
      <c r="G42" s="36"/>
      <c r="H42" s="37" t="e">
        <f t="shared" si="5"/>
        <v>#VALUE!</v>
      </c>
      <c r="I42" s="38">
        <f>D42*F42</f>
        <v>0</v>
      </c>
      <c r="J42" s="161"/>
      <c r="K42" s="24" t="s">
        <v>30</v>
      </c>
      <c r="L42" s="54"/>
      <c r="M42" s="54"/>
      <c r="N42" s="54"/>
    </row>
    <row r="43" spans="1:14" ht="25.5" x14ac:dyDescent="0.25">
      <c r="A43" s="133">
        <v>6</v>
      </c>
      <c r="B43" s="245" t="s">
        <v>108</v>
      </c>
      <c r="C43" s="133" t="s">
        <v>15</v>
      </c>
      <c r="D43" s="133">
        <v>16</v>
      </c>
      <c r="E43" s="39"/>
      <c r="F43" s="35"/>
      <c r="G43" s="40" t="s">
        <v>20</v>
      </c>
      <c r="H43" s="39"/>
      <c r="I43" s="35"/>
      <c r="J43" s="151" t="e">
        <f>D43*G43</f>
        <v>#VALUE!</v>
      </c>
      <c r="K43" s="54"/>
      <c r="L43" s="54"/>
      <c r="M43" s="54"/>
      <c r="N43" s="54"/>
    </row>
    <row r="44" spans="1:14" x14ac:dyDescent="0.25">
      <c r="A44" s="129" t="s">
        <v>37</v>
      </c>
      <c r="B44" s="130" t="s">
        <v>111</v>
      </c>
      <c r="C44" s="131" t="s">
        <v>14</v>
      </c>
      <c r="D44" s="131">
        <v>4</v>
      </c>
      <c r="E44" s="34" t="s">
        <v>19</v>
      </c>
      <c r="F44" s="35"/>
      <c r="G44" s="36"/>
      <c r="H44" s="37" t="e">
        <f t="shared" si="5"/>
        <v>#VALUE!</v>
      </c>
      <c r="I44" s="38">
        <f t="shared" ref="I44" si="10">D44*F44</f>
        <v>0</v>
      </c>
      <c r="J44" s="161"/>
      <c r="K44" s="24" t="s">
        <v>30</v>
      </c>
      <c r="L44" s="54"/>
      <c r="M44" s="54"/>
      <c r="N44" s="54"/>
    </row>
    <row r="45" spans="1:14" x14ac:dyDescent="0.25">
      <c r="A45" s="129" t="s">
        <v>38</v>
      </c>
      <c r="B45" s="130" t="s">
        <v>115</v>
      </c>
      <c r="C45" s="131" t="s">
        <v>14</v>
      </c>
      <c r="D45" s="131">
        <v>12</v>
      </c>
      <c r="E45" s="34" t="s">
        <v>19</v>
      </c>
      <c r="F45" s="35"/>
      <c r="G45" s="65"/>
      <c r="H45" s="37" t="e">
        <f t="shared" si="5"/>
        <v>#VALUE!</v>
      </c>
      <c r="I45" s="38">
        <f>D45*F45</f>
        <v>0</v>
      </c>
      <c r="J45" s="155"/>
      <c r="K45" s="24" t="s">
        <v>30</v>
      </c>
      <c r="L45" s="54"/>
      <c r="M45" s="54"/>
      <c r="N45" s="54"/>
    </row>
    <row r="46" spans="1:14" s="97" customFormat="1" ht="25.5" x14ac:dyDescent="0.25">
      <c r="A46" s="244" t="s">
        <v>39</v>
      </c>
      <c r="B46" s="245" t="s">
        <v>118</v>
      </c>
      <c r="C46" s="133" t="s">
        <v>14</v>
      </c>
      <c r="D46" s="133">
        <v>4</v>
      </c>
      <c r="E46" s="100"/>
      <c r="F46" s="94"/>
      <c r="G46" s="40" t="s">
        <v>20</v>
      </c>
      <c r="H46" s="100"/>
      <c r="I46" s="114"/>
      <c r="J46" s="151" t="e">
        <f>D46*G46</f>
        <v>#VALUE!</v>
      </c>
      <c r="K46" s="95"/>
      <c r="L46" s="96"/>
      <c r="M46" s="96"/>
      <c r="N46" s="96"/>
    </row>
    <row r="47" spans="1:14" x14ac:dyDescent="0.25">
      <c r="A47" s="129" t="s">
        <v>40</v>
      </c>
      <c r="B47" s="130" t="s">
        <v>124</v>
      </c>
      <c r="C47" s="131" t="s">
        <v>14</v>
      </c>
      <c r="D47" s="131">
        <v>4</v>
      </c>
      <c r="E47" s="34" t="s">
        <v>19</v>
      </c>
      <c r="F47" s="35"/>
      <c r="G47" s="65"/>
      <c r="H47" s="37" t="e">
        <f t="shared" si="5"/>
        <v>#VALUE!</v>
      </c>
      <c r="I47" s="38">
        <f t="shared" ref="I47:I109" si="11">D47*F47</f>
        <v>0</v>
      </c>
      <c r="J47" s="155"/>
      <c r="K47" s="24" t="s">
        <v>30</v>
      </c>
      <c r="L47" s="54"/>
      <c r="M47" s="54"/>
      <c r="N47" s="54"/>
    </row>
    <row r="48" spans="1:14" ht="39.75" customHeight="1" x14ac:dyDescent="0.25">
      <c r="A48" s="244" t="s">
        <v>44</v>
      </c>
      <c r="B48" s="245" t="s">
        <v>125</v>
      </c>
      <c r="C48" s="131" t="s">
        <v>14</v>
      </c>
      <c r="D48" s="133">
        <v>2</v>
      </c>
      <c r="E48" s="100"/>
      <c r="F48" s="35"/>
      <c r="G48" s="99" t="s">
        <v>20</v>
      </c>
      <c r="H48" s="111"/>
      <c r="I48" s="112"/>
      <c r="J48" s="151" t="e">
        <f>G48*D48</f>
        <v>#VALUE!</v>
      </c>
      <c r="K48" s="24"/>
      <c r="L48" s="54"/>
      <c r="M48" s="54"/>
      <c r="N48" s="54"/>
    </row>
    <row r="49" spans="1:14" x14ac:dyDescent="0.25">
      <c r="A49" s="129" t="s">
        <v>41</v>
      </c>
      <c r="B49" s="130" t="s">
        <v>378</v>
      </c>
      <c r="C49" s="131" t="s">
        <v>14</v>
      </c>
      <c r="D49" s="131">
        <v>2</v>
      </c>
      <c r="E49" s="34" t="s">
        <v>19</v>
      </c>
      <c r="F49" s="35"/>
      <c r="G49" s="98"/>
      <c r="H49" s="37" t="e">
        <f>D49*E49</f>
        <v>#VALUE!</v>
      </c>
      <c r="I49" s="38">
        <f t="shared" ref="I49" si="12">D49*F49</f>
        <v>0</v>
      </c>
      <c r="J49" s="161"/>
      <c r="K49" s="24" t="s">
        <v>30</v>
      </c>
      <c r="L49" s="54"/>
      <c r="M49" s="54"/>
      <c r="N49" s="54"/>
    </row>
    <row r="50" spans="1:14" x14ac:dyDescent="0.25">
      <c r="A50" s="244" t="s">
        <v>47</v>
      </c>
      <c r="B50" s="245" t="s">
        <v>107</v>
      </c>
      <c r="C50" s="133" t="s">
        <v>54</v>
      </c>
      <c r="D50" s="133">
        <v>0.1</v>
      </c>
      <c r="E50" s="100"/>
      <c r="F50" s="35"/>
      <c r="G50" s="99" t="s">
        <v>20</v>
      </c>
      <c r="H50" s="111"/>
      <c r="I50" s="112"/>
      <c r="J50" s="151" t="e">
        <f>D50*G50</f>
        <v>#VALUE!</v>
      </c>
      <c r="K50" s="24" t="s">
        <v>30</v>
      </c>
      <c r="L50" s="54"/>
      <c r="M50" s="54"/>
      <c r="N50" s="54"/>
    </row>
    <row r="51" spans="1:14" ht="38.25" customHeight="1" x14ac:dyDescent="0.25">
      <c r="A51" s="244" t="s">
        <v>42</v>
      </c>
      <c r="B51" s="245" t="s">
        <v>127</v>
      </c>
      <c r="C51" s="133" t="s">
        <v>14</v>
      </c>
      <c r="D51" s="133">
        <v>2</v>
      </c>
      <c r="E51" s="100"/>
      <c r="F51" s="35"/>
      <c r="G51" s="99" t="s">
        <v>20</v>
      </c>
      <c r="H51" s="111"/>
      <c r="I51" s="112"/>
      <c r="J51" s="151" t="e">
        <f>D51*G51</f>
        <v>#VALUE!</v>
      </c>
      <c r="K51" s="24"/>
      <c r="L51" s="54"/>
      <c r="M51" s="54"/>
      <c r="N51" s="54"/>
    </row>
    <row r="52" spans="1:14" x14ac:dyDescent="0.25">
      <c r="A52" s="129" t="s">
        <v>43</v>
      </c>
      <c r="B52" s="130" t="s">
        <v>128</v>
      </c>
      <c r="C52" s="131" t="s">
        <v>14</v>
      </c>
      <c r="D52" s="131">
        <v>1</v>
      </c>
      <c r="E52" s="34" t="s">
        <v>19</v>
      </c>
      <c r="F52" s="35"/>
      <c r="G52" s="98"/>
      <c r="H52" s="37" t="e">
        <f>D52*E52</f>
        <v>#VALUE!</v>
      </c>
      <c r="I52" s="38">
        <f>D52*F52</f>
        <v>0</v>
      </c>
      <c r="J52" s="161"/>
      <c r="K52" s="24" t="s">
        <v>30</v>
      </c>
      <c r="L52" s="54"/>
      <c r="M52" s="54"/>
      <c r="N52" s="54"/>
    </row>
    <row r="53" spans="1:14" x14ac:dyDescent="0.25">
      <c r="A53" s="129" t="s">
        <v>56</v>
      </c>
      <c r="B53" s="130" t="s">
        <v>129</v>
      </c>
      <c r="C53" s="131" t="s">
        <v>14</v>
      </c>
      <c r="D53" s="131">
        <v>1</v>
      </c>
      <c r="E53" s="34" t="s">
        <v>19</v>
      </c>
      <c r="F53" s="35"/>
      <c r="G53" s="98"/>
      <c r="H53" s="37" t="e">
        <f t="shared" ref="H53" si="13">D53*E53</f>
        <v>#VALUE!</v>
      </c>
      <c r="I53" s="38">
        <f t="shared" ref="I53" si="14">D53*F53</f>
        <v>0</v>
      </c>
      <c r="J53" s="161"/>
      <c r="K53" s="24" t="s">
        <v>30</v>
      </c>
      <c r="L53" s="54"/>
      <c r="M53" s="54"/>
      <c r="N53" s="54"/>
    </row>
    <row r="54" spans="1:14" ht="41.25" customHeight="1" x14ac:dyDescent="0.25">
      <c r="A54" s="244" t="s">
        <v>48</v>
      </c>
      <c r="B54" s="245" t="s">
        <v>130</v>
      </c>
      <c r="C54" s="131" t="s">
        <v>14</v>
      </c>
      <c r="D54" s="133">
        <f>D55+D56+D57+D58+D59+D60+D61+D62+D63+D64+D65+D66+D67+D68+D69</f>
        <v>253</v>
      </c>
      <c r="E54" s="100"/>
      <c r="F54" s="35"/>
      <c r="G54" s="99" t="s">
        <v>20</v>
      </c>
      <c r="H54" s="111"/>
      <c r="I54" s="112"/>
      <c r="J54" s="151" t="e">
        <f>D54*G54</f>
        <v>#VALUE!</v>
      </c>
      <c r="K54" s="24"/>
      <c r="L54" s="54"/>
      <c r="M54" s="54"/>
      <c r="N54" s="54"/>
    </row>
    <row r="55" spans="1:14" x14ac:dyDescent="0.25">
      <c r="A55" s="129" t="s">
        <v>49</v>
      </c>
      <c r="B55" s="130" t="s">
        <v>131</v>
      </c>
      <c r="C55" s="131" t="s">
        <v>14</v>
      </c>
      <c r="D55" s="131">
        <f>21+21</f>
        <v>42</v>
      </c>
      <c r="E55" s="34" t="s">
        <v>19</v>
      </c>
      <c r="F55" s="35"/>
      <c r="G55" s="98"/>
      <c r="H55" s="37" t="e">
        <f>D55*E55</f>
        <v>#VALUE!</v>
      </c>
      <c r="I55" s="38">
        <f t="shared" ref="I55:I72" si="15">D55*F55</f>
        <v>0</v>
      </c>
      <c r="J55" s="51"/>
      <c r="K55" s="24" t="s">
        <v>30</v>
      </c>
      <c r="L55" s="54"/>
      <c r="M55" s="54"/>
      <c r="N55" s="54"/>
    </row>
    <row r="56" spans="1:14" x14ac:dyDescent="0.25">
      <c r="A56" s="129" t="s">
        <v>142</v>
      </c>
      <c r="B56" s="130" t="s">
        <v>132</v>
      </c>
      <c r="C56" s="131" t="s">
        <v>14</v>
      </c>
      <c r="D56" s="131">
        <f>63+42</f>
        <v>105</v>
      </c>
      <c r="E56" s="34" t="s">
        <v>19</v>
      </c>
      <c r="F56" s="35"/>
      <c r="G56" s="98"/>
      <c r="H56" s="37" t="e">
        <f t="shared" ref="H56:H69" si="16">D56*E56</f>
        <v>#VALUE!</v>
      </c>
      <c r="I56" s="38">
        <f t="shared" si="15"/>
        <v>0</v>
      </c>
      <c r="J56" s="51"/>
      <c r="K56" s="24" t="s">
        <v>30</v>
      </c>
      <c r="L56" s="54"/>
      <c r="M56" s="54"/>
      <c r="N56" s="54"/>
    </row>
    <row r="57" spans="1:14" x14ac:dyDescent="0.25">
      <c r="A57" s="129" t="s">
        <v>143</v>
      </c>
      <c r="B57" s="130" t="s">
        <v>133</v>
      </c>
      <c r="C57" s="131" t="s">
        <v>14</v>
      </c>
      <c r="D57" s="131">
        <v>20</v>
      </c>
      <c r="E57" s="34" t="s">
        <v>19</v>
      </c>
      <c r="F57" s="35"/>
      <c r="G57" s="98"/>
      <c r="H57" s="37" t="e">
        <f t="shared" si="16"/>
        <v>#VALUE!</v>
      </c>
      <c r="I57" s="38">
        <f t="shared" si="15"/>
        <v>0</v>
      </c>
      <c r="J57" s="51"/>
      <c r="K57" s="24" t="s">
        <v>30</v>
      </c>
      <c r="L57" s="54"/>
      <c r="M57" s="54"/>
      <c r="N57" s="54"/>
    </row>
    <row r="58" spans="1:14" x14ac:dyDescent="0.25">
      <c r="A58" s="129" t="s">
        <v>144</v>
      </c>
      <c r="B58" s="130" t="s">
        <v>379</v>
      </c>
      <c r="C58" s="131" t="s">
        <v>14</v>
      </c>
      <c r="D58" s="131">
        <v>20</v>
      </c>
      <c r="E58" s="34" t="s">
        <v>19</v>
      </c>
      <c r="F58" s="35"/>
      <c r="G58" s="98"/>
      <c r="H58" s="37" t="e">
        <f t="shared" si="16"/>
        <v>#VALUE!</v>
      </c>
      <c r="I58" s="38">
        <f t="shared" si="15"/>
        <v>0</v>
      </c>
      <c r="J58" s="51"/>
      <c r="K58" s="24" t="s">
        <v>30</v>
      </c>
      <c r="L58" s="54"/>
      <c r="M58" s="54"/>
      <c r="N58" s="54"/>
    </row>
    <row r="59" spans="1:14" x14ac:dyDescent="0.25">
      <c r="A59" s="129" t="s">
        <v>145</v>
      </c>
      <c r="B59" s="130" t="s">
        <v>134</v>
      </c>
      <c r="C59" s="131" t="s">
        <v>14</v>
      </c>
      <c r="D59" s="131">
        <f>20+20</f>
        <v>40</v>
      </c>
      <c r="E59" s="34" t="s">
        <v>19</v>
      </c>
      <c r="F59" s="35"/>
      <c r="G59" s="98"/>
      <c r="H59" s="37" t="e">
        <f t="shared" si="16"/>
        <v>#VALUE!</v>
      </c>
      <c r="I59" s="38">
        <f t="shared" si="15"/>
        <v>0</v>
      </c>
      <c r="J59" s="51"/>
      <c r="K59" s="24" t="s">
        <v>30</v>
      </c>
      <c r="L59" s="54"/>
      <c r="M59" s="54"/>
      <c r="N59" s="54"/>
    </row>
    <row r="60" spans="1:14" ht="25.5" x14ac:dyDescent="0.25">
      <c r="A60" s="129" t="s">
        <v>146</v>
      </c>
      <c r="B60" s="130" t="s">
        <v>135</v>
      </c>
      <c r="C60" s="131" t="s">
        <v>14</v>
      </c>
      <c r="D60" s="131">
        <f>2+2</f>
        <v>4</v>
      </c>
      <c r="E60" s="34" t="s">
        <v>19</v>
      </c>
      <c r="F60" s="35"/>
      <c r="G60" s="98"/>
      <c r="H60" s="37" t="e">
        <f t="shared" si="16"/>
        <v>#VALUE!</v>
      </c>
      <c r="I60" s="38">
        <f t="shared" si="15"/>
        <v>0</v>
      </c>
      <c r="J60" s="51"/>
      <c r="K60" s="24" t="s">
        <v>30</v>
      </c>
      <c r="L60" s="54"/>
      <c r="M60" s="54"/>
      <c r="N60" s="54"/>
    </row>
    <row r="61" spans="1:14" ht="25.5" x14ac:dyDescent="0.25">
      <c r="A61" s="129" t="s">
        <v>147</v>
      </c>
      <c r="B61" s="130" t="s">
        <v>136</v>
      </c>
      <c r="C61" s="131" t="s">
        <v>14</v>
      </c>
      <c r="D61" s="131">
        <f>3+2</f>
        <v>5</v>
      </c>
      <c r="E61" s="34" t="s">
        <v>19</v>
      </c>
      <c r="F61" s="35"/>
      <c r="G61" s="98"/>
      <c r="H61" s="37" t="e">
        <f t="shared" si="16"/>
        <v>#VALUE!</v>
      </c>
      <c r="I61" s="38">
        <f t="shared" si="15"/>
        <v>0</v>
      </c>
      <c r="J61" s="51"/>
      <c r="K61" s="24" t="s">
        <v>30</v>
      </c>
      <c r="L61" s="54"/>
      <c r="M61" s="54"/>
      <c r="N61" s="54"/>
    </row>
    <row r="62" spans="1:14" ht="25.5" x14ac:dyDescent="0.25">
      <c r="A62" s="129" t="s">
        <v>148</v>
      </c>
      <c r="B62" s="130" t="s">
        <v>137</v>
      </c>
      <c r="C62" s="131" t="s">
        <v>14</v>
      </c>
      <c r="D62" s="131">
        <f>3+2</f>
        <v>5</v>
      </c>
      <c r="E62" s="34" t="s">
        <v>19</v>
      </c>
      <c r="F62" s="35"/>
      <c r="G62" s="98"/>
      <c r="H62" s="37" t="e">
        <f t="shared" si="16"/>
        <v>#VALUE!</v>
      </c>
      <c r="I62" s="38">
        <f t="shared" si="15"/>
        <v>0</v>
      </c>
      <c r="J62" s="51"/>
      <c r="K62" s="24" t="s">
        <v>30</v>
      </c>
      <c r="L62" s="54"/>
      <c r="M62" s="54"/>
      <c r="N62" s="54"/>
    </row>
    <row r="63" spans="1:14" s="158" customFormat="1" ht="25.5" x14ac:dyDescent="0.25">
      <c r="A63" s="129" t="s">
        <v>149</v>
      </c>
      <c r="B63" s="130" t="s">
        <v>138</v>
      </c>
      <c r="C63" s="131" t="s">
        <v>14</v>
      </c>
      <c r="D63" s="131">
        <v>1</v>
      </c>
      <c r="E63" s="34" t="s">
        <v>19</v>
      </c>
      <c r="F63" s="112"/>
      <c r="G63" s="98"/>
      <c r="H63" s="37" t="e">
        <f t="shared" si="16"/>
        <v>#VALUE!</v>
      </c>
      <c r="I63" s="38">
        <f t="shared" si="15"/>
        <v>0</v>
      </c>
      <c r="J63" s="113"/>
      <c r="K63" s="24" t="s">
        <v>30</v>
      </c>
      <c r="L63" s="157"/>
      <c r="M63" s="157"/>
      <c r="N63" s="157"/>
    </row>
    <row r="64" spans="1:14" ht="25.5" x14ac:dyDescent="0.25">
      <c r="A64" s="129" t="s">
        <v>150</v>
      </c>
      <c r="B64" s="130" t="s">
        <v>139</v>
      </c>
      <c r="C64" s="131" t="s">
        <v>14</v>
      </c>
      <c r="D64" s="131">
        <v>2</v>
      </c>
      <c r="E64" s="34" t="s">
        <v>19</v>
      </c>
      <c r="F64" s="35"/>
      <c r="G64" s="98"/>
      <c r="H64" s="37" t="e">
        <f t="shared" si="16"/>
        <v>#VALUE!</v>
      </c>
      <c r="I64" s="38">
        <f t="shared" si="15"/>
        <v>0</v>
      </c>
      <c r="J64" s="51"/>
      <c r="K64" s="24" t="s">
        <v>30</v>
      </c>
      <c r="L64" s="54"/>
      <c r="M64" s="54"/>
      <c r="N64" s="54"/>
    </row>
    <row r="65" spans="1:14" ht="25.5" x14ac:dyDescent="0.25">
      <c r="A65" s="129" t="s">
        <v>151</v>
      </c>
      <c r="B65" s="130" t="s">
        <v>380</v>
      </c>
      <c r="C65" s="131" t="s">
        <v>14</v>
      </c>
      <c r="D65" s="131">
        <v>2</v>
      </c>
      <c r="E65" s="34" t="s">
        <v>19</v>
      </c>
      <c r="F65" s="35"/>
      <c r="G65" s="98"/>
      <c r="H65" s="37" t="e">
        <f t="shared" si="16"/>
        <v>#VALUE!</v>
      </c>
      <c r="I65" s="38">
        <f t="shared" si="15"/>
        <v>0</v>
      </c>
      <c r="J65" s="51"/>
      <c r="K65" s="24" t="s">
        <v>30</v>
      </c>
      <c r="L65" s="54"/>
      <c r="M65" s="54"/>
      <c r="N65" s="54"/>
    </row>
    <row r="66" spans="1:14" ht="25.5" x14ac:dyDescent="0.25">
      <c r="A66" s="129" t="s">
        <v>383</v>
      </c>
      <c r="B66" s="130" t="s">
        <v>381</v>
      </c>
      <c r="C66" s="131" t="s">
        <v>14</v>
      </c>
      <c r="D66" s="131">
        <v>1</v>
      </c>
      <c r="E66" s="34" t="s">
        <v>19</v>
      </c>
      <c r="F66" s="35"/>
      <c r="G66" s="98"/>
      <c r="H66" s="37" t="e">
        <f t="shared" si="16"/>
        <v>#VALUE!</v>
      </c>
      <c r="I66" s="38">
        <f t="shared" si="15"/>
        <v>0</v>
      </c>
      <c r="J66" s="51"/>
      <c r="K66" s="24" t="s">
        <v>30</v>
      </c>
      <c r="L66" s="54"/>
      <c r="M66" s="54"/>
      <c r="N66" s="54"/>
    </row>
    <row r="67" spans="1:14" ht="25.5" x14ac:dyDescent="0.25">
      <c r="A67" s="129" t="s">
        <v>384</v>
      </c>
      <c r="B67" s="130" t="s">
        <v>140</v>
      </c>
      <c r="C67" s="131" t="s">
        <v>14</v>
      </c>
      <c r="D67" s="131">
        <v>2</v>
      </c>
      <c r="E67" s="34" t="s">
        <v>19</v>
      </c>
      <c r="F67" s="35"/>
      <c r="G67" s="98"/>
      <c r="H67" s="37" t="e">
        <f t="shared" si="16"/>
        <v>#VALUE!</v>
      </c>
      <c r="I67" s="38">
        <f t="shared" si="15"/>
        <v>0</v>
      </c>
      <c r="J67" s="51"/>
      <c r="K67" s="24" t="s">
        <v>30</v>
      </c>
      <c r="L67" s="54"/>
      <c r="M67" s="54"/>
      <c r="N67" s="54"/>
    </row>
    <row r="68" spans="1:14" ht="25.5" x14ac:dyDescent="0.25">
      <c r="A68" s="129" t="s">
        <v>385</v>
      </c>
      <c r="B68" s="130" t="s">
        <v>382</v>
      </c>
      <c r="C68" s="131" t="s">
        <v>14</v>
      </c>
      <c r="D68" s="131">
        <v>2</v>
      </c>
      <c r="E68" s="34" t="s">
        <v>19</v>
      </c>
      <c r="F68" s="35"/>
      <c r="G68" s="98"/>
      <c r="H68" s="37" t="e">
        <f t="shared" si="16"/>
        <v>#VALUE!</v>
      </c>
      <c r="I68" s="38">
        <f t="shared" si="15"/>
        <v>0</v>
      </c>
      <c r="J68" s="51"/>
      <c r="K68" s="24" t="s">
        <v>30</v>
      </c>
      <c r="L68" s="54"/>
      <c r="M68" s="54"/>
      <c r="N68" s="54"/>
    </row>
    <row r="69" spans="1:14" ht="25.5" x14ac:dyDescent="0.25">
      <c r="A69" s="129" t="s">
        <v>386</v>
      </c>
      <c r="B69" s="130" t="s">
        <v>141</v>
      </c>
      <c r="C69" s="131" t="s">
        <v>14</v>
      </c>
      <c r="D69" s="131">
        <v>2</v>
      </c>
      <c r="E69" s="34" t="s">
        <v>19</v>
      </c>
      <c r="F69" s="35"/>
      <c r="G69" s="98"/>
      <c r="H69" s="37" t="e">
        <f t="shared" si="16"/>
        <v>#VALUE!</v>
      </c>
      <c r="I69" s="38">
        <f t="shared" si="15"/>
        <v>0</v>
      </c>
      <c r="J69" s="51"/>
      <c r="K69" s="24" t="s">
        <v>30</v>
      </c>
      <c r="L69" s="54"/>
      <c r="M69" s="54"/>
      <c r="N69" s="54"/>
    </row>
    <row r="70" spans="1:14" ht="39" customHeight="1" x14ac:dyDescent="0.25">
      <c r="A70" s="244" t="s">
        <v>57</v>
      </c>
      <c r="B70" s="245" t="s">
        <v>127</v>
      </c>
      <c r="C70" s="133" t="s">
        <v>14</v>
      </c>
      <c r="D70" s="133">
        <f>D71+D72</f>
        <v>1380</v>
      </c>
      <c r="E70" s="100"/>
      <c r="F70" s="35"/>
      <c r="G70" s="99" t="s">
        <v>20</v>
      </c>
      <c r="H70" s="111"/>
      <c r="I70" s="112"/>
      <c r="J70" s="151" t="e">
        <f>D70*G70</f>
        <v>#VALUE!</v>
      </c>
      <c r="K70" s="24"/>
      <c r="L70" s="54"/>
      <c r="M70" s="54"/>
      <c r="N70" s="54"/>
    </row>
    <row r="71" spans="1:14" x14ac:dyDescent="0.25">
      <c r="A71" s="129" t="s">
        <v>50</v>
      </c>
      <c r="B71" s="130" t="s">
        <v>152</v>
      </c>
      <c r="C71" s="131" t="s">
        <v>14</v>
      </c>
      <c r="D71" s="131">
        <f>690+575</f>
        <v>1265</v>
      </c>
      <c r="E71" s="34" t="s">
        <v>19</v>
      </c>
      <c r="F71" s="35"/>
      <c r="G71" s="98"/>
      <c r="H71" s="37" t="e">
        <f>D71*E71</f>
        <v>#VALUE!</v>
      </c>
      <c r="I71" s="38">
        <f t="shared" si="15"/>
        <v>0</v>
      </c>
      <c r="J71" s="161"/>
      <c r="K71" s="24" t="s">
        <v>30</v>
      </c>
      <c r="L71" s="54"/>
      <c r="M71" s="54"/>
      <c r="N71" s="54"/>
    </row>
    <row r="72" spans="1:14" x14ac:dyDescent="0.25">
      <c r="A72" s="129" t="s">
        <v>154</v>
      </c>
      <c r="B72" s="130" t="s">
        <v>153</v>
      </c>
      <c r="C72" s="131" t="s">
        <v>14</v>
      </c>
      <c r="D72" s="131">
        <f>46+69</f>
        <v>115</v>
      </c>
      <c r="E72" s="34" t="s">
        <v>19</v>
      </c>
      <c r="F72" s="35"/>
      <c r="G72" s="98"/>
      <c r="H72" s="37" t="e">
        <f>D72*E72</f>
        <v>#VALUE!</v>
      </c>
      <c r="I72" s="38">
        <f t="shared" si="15"/>
        <v>0</v>
      </c>
      <c r="J72" s="161"/>
      <c r="K72" s="24" t="s">
        <v>30</v>
      </c>
      <c r="L72" s="54"/>
      <c r="M72" s="54"/>
      <c r="N72" s="54"/>
    </row>
    <row r="73" spans="1:14" x14ac:dyDescent="0.25">
      <c r="A73" s="244" t="s">
        <v>58</v>
      </c>
      <c r="B73" s="245" t="s">
        <v>155</v>
      </c>
      <c r="C73" s="133" t="s">
        <v>14</v>
      </c>
      <c r="D73" s="133">
        <f>D74</f>
        <v>23</v>
      </c>
      <c r="E73" s="100"/>
      <c r="F73" s="35"/>
      <c r="G73" s="99" t="s">
        <v>20</v>
      </c>
      <c r="H73" s="111"/>
      <c r="I73" s="112"/>
      <c r="J73" s="151" t="e">
        <f>D73*G73</f>
        <v>#VALUE!</v>
      </c>
      <c r="K73" s="24"/>
      <c r="L73" s="54"/>
      <c r="M73" s="54"/>
      <c r="N73" s="54"/>
    </row>
    <row r="74" spans="1:14" ht="25.5" x14ac:dyDescent="0.25">
      <c r="A74" s="129" t="s">
        <v>51</v>
      </c>
      <c r="B74" s="130" t="s">
        <v>156</v>
      </c>
      <c r="C74" s="131" t="s">
        <v>14</v>
      </c>
      <c r="D74" s="131">
        <f>11+12</f>
        <v>23</v>
      </c>
      <c r="E74" s="34" t="s">
        <v>19</v>
      </c>
      <c r="F74" s="35"/>
      <c r="G74" s="65"/>
      <c r="H74" s="37" t="e">
        <f t="shared" si="5"/>
        <v>#VALUE!</v>
      </c>
      <c r="I74" s="38">
        <f t="shared" si="11"/>
        <v>0</v>
      </c>
      <c r="J74" s="155"/>
      <c r="K74" s="24" t="s">
        <v>30</v>
      </c>
      <c r="L74" s="54"/>
      <c r="M74" s="54"/>
      <c r="N74" s="54"/>
    </row>
    <row r="75" spans="1:14" ht="27" customHeight="1" x14ac:dyDescent="0.25">
      <c r="A75" s="133">
        <v>14</v>
      </c>
      <c r="B75" s="245" t="s">
        <v>162</v>
      </c>
      <c r="C75" s="133" t="s">
        <v>11</v>
      </c>
      <c r="D75" s="133">
        <v>2</v>
      </c>
      <c r="E75" s="39"/>
      <c r="F75" s="35"/>
      <c r="G75" s="40" t="s">
        <v>20</v>
      </c>
      <c r="H75" s="39"/>
      <c r="I75" s="35"/>
      <c r="J75" s="151" t="e">
        <f t="shared" ref="J75" si="17">D75*G75</f>
        <v>#VALUE!</v>
      </c>
      <c r="K75" s="54"/>
      <c r="L75" s="54"/>
      <c r="M75" s="54"/>
      <c r="N75" s="54"/>
    </row>
    <row r="76" spans="1:14" x14ac:dyDescent="0.25">
      <c r="A76" s="129" t="s">
        <v>52</v>
      </c>
      <c r="B76" s="130" t="s">
        <v>387</v>
      </c>
      <c r="C76" s="131" t="s">
        <v>14</v>
      </c>
      <c r="D76" s="131">
        <v>1</v>
      </c>
      <c r="E76" s="122" t="s">
        <v>19</v>
      </c>
      <c r="F76" s="35"/>
      <c r="G76" s="98"/>
      <c r="H76" s="37" t="e">
        <f>D76*E76</f>
        <v>#VALUE!</v>
      </c>
      <c r="I76" s="38">
        <f>D76*F76</f>
        <v>0</v>
      </c>
      <c r="J76" s="113"/>
      <c r="K76" s="54" t="s">
        <v>30</v>
      </c>
      <c r="L76" s="54"/>
      <c r="M76" s="54"/>
      <c r="N76" s="54"/>
    </row>
    <row r="77" spans="1:14" x14ac:dyDescent="0.25">
      <c r="A77" s="129" t="s">
        <v>59</v>
      </c>
      <c r="B77" s="130" t="s">
        <v>164</v>
      </c>
      <c r="C77" s="131" t="s">
        <v>14</v>
      </c>
      <c r="D77" s="131">
        <v>2</v>
      </c>
      <c r="E77" s="34" t="s">
        <v>19</v>
      </c>
      <c r="F77" s="35"/>
      <c r="G77" s="36"/>
      <c r="H77" s="37" t="e">
        <f t="shared" si="5"/>
        <v>#VALUE!</v>
      </c>
      <c r="I77" s="38">
        <f t="shared" si="11"/>
        <v>0</v>
      </c>
      <c r="J77" s="51"/>
      <c r="K77" s="24" t="s">
        <v>30</v>
      </c>
      <c r="L77" s="54"/>
      <c r="M77" s="54"/>
      <c r="N77" s="54"/>
    </row>
    <row r="78" spans="1:14" ht="15.75" thickBot="1" x14ac:dyDescent="0.3">
      <c r="A78" s="135" t="s">
        <v>388</v>
      </c>
      <c r="B78" s="132" t="s">
        <v>163</v>
      </c>
      <c r="C78" s="136" t="s">
        <v>14</v>
      </c>
      <c r="D78" s="136">
        <v>1</v>
      </c>
      <c r="E78" s="101" t="s">
        <v>19</v>
      </c>
      <c r="F78" s="102"/>
      <c r="G78" s="103"/>
      <c r="H78" s="104" t="e">
        <f t="shared" si="5"/>
        <v>#VALUE!</v>
      </c>
      <c r="I78" s="105">
        <f t="shared" si="11"/>
        <v>0</v>
      </c>
      <c r="J78" s="106"/>
      <c r="K78" s="107" t="s">
        <v>30</v>
      </c>
      <c r="L78" s="55"/>
      <c r="M78" s="55"/>
      <c r="N78" s="55"/>
    </row>
    <row r="79" spans="1:14" ht="15.75" thickBot="1" x14ac:dyDescent="0.3">
      <c r="A79" s="214"/>
      <c r="B79" s="218" t="s">
        <v>438</v>
      </c>
      <c r="C79" s="215"/>
      <c r="D79" s="216"/>
      <c r="E79" s="217"/>
      <c r="F79" s="44"/>
      <c r="G79" s="45"/>
      <c r="H79" s="219" t="e">
        <f>SUM(H23:H78)</f>
        <v>#VALUE!</v>
      </c>
      <c r="I79" s="219">
        <f>SUM(I23:I78)</f>
        <v>0</v>
      </c>
      <c r="J79" s="219" t="e">
        <f>J75+J73+J70+J54+J51+J50+J48+J46+J43+J41+J36+J28+J27+J21</f>
        <v>#VALUE!</v>
      </c>
      <c r="K79" s="146"/>
      <c r="L79" s="66"/>
      <c r="M79" s="66"/>
      <c r="N79" s="66"/>
    </row>
    <row r="80" spans="1:14" s="16" customFormat="1" ht="15.75" thickBot="1" x14ac:dyDescent="0.3">
      <c r="A80" s="302" t="s">
        <v>157</v>
      </c>
      <c r="B80" s="303"/>
      <c r="C80" s="303"/>
      <c r="D80" s="303"/>
      <c r="E80" s="303"/>
      <c r="F80" s="303"/>
      <c r="G80" s="304"/>
      <c r="H80" s="147"/>
      <c r="I80" s="148"/>
      <c r="J80" s="145"/>
      <c r="K80" s="146"/>
      <c r="L80" s="66"/>
      <c r="M80" s="66"/>
      <c r="N80" s="66"/>
    </row>
    <row r="81" spans="1:14" ht="51.75" customHeight="1" x14ac:dyDescent="0.25">
      <c r="A81" s="246">
        <v>15</v>
      </c>
      <c r="B81" s="247" t="s">
        <v>158</v>
      </c>
      <c r="C81" s="246" t="s">
        <v>11</v>
      </c>
      <c r="D81" s="246">
        <f>D82</f>
        <v>1790</v>
      </c>
      <c r="E81" s="138"/>
      <c r="F81" s="139"/>
      <c r="G81" s="140" t="s">
        <v>20</v>
      </c>
      <c r="H81" s="141"/>
      <c r="I81" s="142"/>
      <c r="J81" s="168" t="e">
        <f>D81*G81</f>
        <v>#VALUE!</v>
      </c>
      <c r="K81" s="143"/>
      <c r="L81" s="144"/>
      <c r="M81" s="144"/>
      <c r="N81" s="144"/>
    </row>
    <row r="82" spans="1:14" ht="25.5" x14ac:dyDescent="0.25">
      <c r="A82" s="129" t="s">
        <v>53</v>
      </c>
      <c r="B82" s="130" t="s">
        <v>159</v>
      </c>
      <c r="C82" s="131" t="s">
        <v>11</v>
      </c>
      <c r="D82" s="131">
        <f>970+820</f>
        <v>1790</v>
      </c>
      <c r="E82" s="34" t="s">
        <v>19</v>
      </c>
      <c r="F82" s="35"/>
      <c r="G82" s="36"/>
      <c r="H82" s="37" t="e">
        <f t="shared" si="5"/>
        <v>#VALUE!</v>
      </c>
      <c r="I82" s="38">
        <f t="shared" si="11"/>
        <v>0</v>
      </c>
      <c r="J82" s="161"/>
      <c r="K82" s="24" t="s">
        <v>30</v>
      </c>
      <c r="L82" s="54"/>
      <c r="M82" s="54"/>
      <c r="N82" s="54"/>
    </row>
    <row r="83" spans="1:14" ht="57.75" customHeight="1" x14ac:dyDescent="0.25">
      <c r="A83" s="248" t="s">
        <v>60</v>
      </c>
      <c r="B83" s="245" t="s">
        <v>160</v>
      </c>
      <c r="C83" s="134" t="s">
        <v>11</v>
      </c>
      <c r="D83" s="134">
        <f>D84</f>
        <v>390</v>
      </c>
      <c r="E83" s="108"/>
      <c r="F83" s="102"/>
      <c r="G83" s="109" t="s">
        <v>20</v>
      </c>
      <c r="H83" s="115"/>
      <c r="I83" s="116"/>
      <c r="J83" s="153" t="e">
        <f>D83*G83</f>
        <v>#VALUE!</v>
      </c>
      <c r="K83" s="107"/>
      <c r="L83" s="55"/>
      <c r="M83" s="55"/>
      <c r="N83" s="55"/>
    </row>
    <row r="84" spans="1:14" ht="25.5" x14ac:dyDescent="0.25">
      <c r="A84" s="135" t="s">
        <v>61</v>
      </c>
      <c r="B84" s="130" t="s">
        <v>161</v>
      </c>
      <c r="C84" s="136" t="s">
        <v>11</v>
      </c>
      <c r="D84" s="136">
        <f>250+140</f>
        <v>390</v>
      </c>
      <c r="E84" s="101" t="s">
        <v>19</v>
      </c>
      <c r="F84" s="102"/>
      <c r="G84" s="103"/>
      <c r="H84" s="104" t="e">
        <f>D84*E84</f>
        <v>#VALUE!</v>
      </c>
      <c r="I84" s="105">
        <f>D84*F84</f>
        <v>0</v>
      </c>
      <c r="J84" s="106"/>
      <c r="K84" s="107" t="s">
        <v>30</v>
      </c>
      <c r="L84" s="55"/>
      <c r="M84" s="55"/>
      <c r="N84" s="55"/>
    </row>
    <row r="85" spans="1:14" x14ac:dyDescent="0.25">
      <c r="A85" s="248" t="s">
        <v>62</v>
      </c>
      <c r="B85" s="137" t="s">
        <v>165</v>
      </c>
      <c r="C85" s="136" t="s">
        <v>11</v>
      </c>
      <c r="D85" s="134">
        <v>780</v>
      </c>
      <c r="E85" s="108"/>
      <c r="F85" s="102"/>
      <c r="G85" s="109" t="s">
        <v>20</v>
      </c>
      <c r="H85" s="115"/>
      <c r="I85" s="116"/>
      <c r="J85" s="153" t="e">
        <f>D85*G85</f>
        <v>#VALUE!</v>
      </c>
      <c r="K85" s="107"/>
      <c r="L85" s="55"/>
      <c r="M85" s="55"/>
      <c r="N85" s="55"/>
    </row>
    <row r="86" spans="1:14" ht="25.5" x14ac:dyDescent="0.25">
      <c r="A86" s="135" t="s">
        <v>18</v>
      </c>
      <c r="B86" s="132" t="s">
        <v>166</v>
      </c>
      <c r="C86" s="136" t="s">
        <v>14</v>
      </c>
      <c r="D86" s="136">
        <f>130+130</f>
        <v>260</v>
      </c>
      <c r="E86" s="101" t="s">
        <v>19</v>
      </c>
      <c r="F86" s="102"/>
      <c r="G86" s="110"/>
      <c r="H86" s="104" t="e">
        <f>D86*E86</f>
        <v>#VALUE!</v>
      </c>
      <c r="I86" s="105">
        <f>D86*F86</f>
        <v>0</v>
      </c>
      <c r="J86" s="106"/>
      <c r="K86" s="107" t="s">
        <v>30</v>
      </c>
      <c r="L86" s="55"/>
      <c r="M86" s="55"/>
      <c r="N86" s="55"/>
    </row>
    <row r="87" spans="1:14" x14ac:dyDescent="0.25">
      <c r="A87" s="248" t="s">
        <v>168</v>
      </c>
      <c r="B87" s="137" t="s">
        <v>167</v>
      </c>
      <c r="C87" s="134" t="s">
        <v>54</v>
      </c>
      <c r="D87" s="134">
        <v>1.4</v>
      </c>
      <c r="E87" s="108"/>
      <c r="F87" s="149"/>
      <c r="G87" s="124" t="s">
        <v>20</v>
      </c>
      <c r="H87" s="108"/>
      <c r="I87" s="152"/>
      <c r="J87" s="153" t="e">
        <f>D87*G87</f>
        <v>#VALUE!</v>
      </c>
      <c r="K87" s="107"/>
      <c r="L87" s="55"/>
      <c r="M87" s="55"/>
      <c r="N87" s="55"/>
    </row>
    <row r="88" spans="1:14" ht="25.5" x14ac:dyDescent="0.25">
      <c r="A88" s="135" t="s">
        <v>63</v>
      </c>
      <c r="B88" s="132" t="s">
        <v>169</v>
      </c>
      <c r="C88" s="136" t="s">
        <v>54</v>
      </c>
      <c r="D88" s="136">
        <v>1.4</v>
      </c>
      <c r="E88" s="127" t="s">
        <v>19</v>
      </c>
      <c r="F88" s="102"/>
      <c r="G88" s="110"/>
      <c r="H88" s="104" t="e">
        <f>D88*E88</f>
        <v>#VALUE!</v>
      </c>
      <c r="I88" s="105">
        <f>D88*F88</f>
        <v>0</v>
      </c>
      <c r="J88" s="106"/>
      <c r="K88" s="107" t="s">
        <v>30</v>
      </c>
      <c r="L88" s="55"/>
      <c r="M88" s="55"/>
      <c r="N88" s="55"/>
    </row>
    <row r="89" spans="1:14" ht="36" customHeight="1" x14ac:dyDescent="0.25">
      <c r="A89" s="248" t="s">
        <v>176</v>
      </c>
      <c r="B89" s="137" t="s">
        <v>182</v>
      </c>
      <c r="C89" s="134" t="s">
        <v>11</v>
      </c>
      <c r="D89" s="134">
        <f>D90+D91+D92</f>
        <v>137</v>
      </c>
      <c r="E89" s="108"/>
      <c r="F89" s="149"/>
      <c r="G89" s="124" t="s">
        <v>20</v>
      </c>
      <c r="H89" s="108"/>
      <c r="I89" s="152"/>
      <c r="J89" s="153" t="e">
        <f>D89*G89</f>
        <v>#VALUE!</v>
      </c>
      <c r="K89" s="107"/>
      <c r="L89" s="55"/>
      <c r="M89" s="55"/>
      <c r="N89" s="55"/>
    </row>
    <row r="90" spans="1:14" x14ac:dyDescent="0.25">
      <c r="A90" s="135" t="s">
        <v>64</v>
      </c>
      <c r="B90" s="132" t="s">
        <v>190</v>
      </c>
      <c r="C90" s="136" t="s">
        <v>11</v>
      </c>
      <c r="D90" s="136">
        <f>28+30</f>
        <v>58</v>
      </c>
      <c r="E90" s="101" t="s">
        <v>19</v>
      </c>
      <c r="F90" s="102"/>
      <c r="G90" s="110"/>
      <c r="H90" s="104" t="e">
        <f>D90*E90</f>
        <v>#VALUE!</v>
      </c>
      <c r="I90" s="105">
        <f>D90*F90</f>
        <v>0</v>
      </c>
      <c r="J90" s="106"/>
      <c r="K90" s="107" t="s">
        <v>30</v>
      </c>
      <c r="L90" s="55"/>
      <c r="M90" s="55"/>
      <c r="N90" s="55"/>
    </row>
    <row r="91" spans="1:14" x14ac:dyDescent="0.25">
      <c r="A91" s="135" t="s">
        <v>65</v>
      </c>
      <c r="B91" s="132" t="s">
        <v>389</v>
      </c>
      <c r="C91" s="136" t="s">
        <v>11</v>
      </c>
      <c r="D91" s="136">
        <v>7</v>
      </c>
      <c r="E91" s="101" t="s">
        <v>19</v>
      </c>
      <c r="F91" s="102"/>
      <c r="G91" s="110"/>
      <c r="H91" s="104" t="e">
        <f>D91*E91</f>
        <v>#VALUE!</v>
      </c>
      <c r="I91" s="105">
        <f>D91*F91</f>
        <v>0</v>
      </c>
      <c r="J91" s="106"/>
      <c r="K91" s="107" t="s">
        <v>30</v>
      </c>
      <c r="L91" s="55"/>
      <c r="M91" s="55"/>
      <c r="N91" s="55"/>
    </row>
    <row r="92" spans="1:14" x14ac:dyDescent="0.25">
      <c r="A92" s="135" t="s">
        <v>66</v>
      </c>
      <c r="B92" s="132" t="s">
        <v>184</v>
      </c>
      <c r="C92" s="136" t="s">
        <v>11</v>
      </c>
      <c r="D92" s="136">
        <v>72</v>
      </c>
      <c r="E92" s="101" t="s">
        <v>19</v>
      </c>
      <c r="F92" s="102"/>
      <c r="G92" s="110"/>
      <c r="H92" s="104" t="e">
        <f>D92*E92</f>
        <v>#VALUE!</v>
      </c>
      <c r="I92" s="105">
        <f>D92*F92</f>
        <v>0</v>
      </c>
      <c r="J92" s="106"/>
      <c r="K92" s="107" t="s">
        <v>30</v>
      </c>
      <c r="L92" s="55"/>
      <c r="M92" s="55"/>
      <c r="N92" s="55"/>
    </row>
    <row r="93" spans="1:14" ht="51" x14ac:dyDescent="0.25">
      <c r="A93" s="248" t="s">
        <v>67</v>
      </c>
      <c r="B93" s="137" t="s">
        <v>207</v>
      </c>
      <c r="C93" s="134" t="s">
        <v>11</v>
      </c>
      <c r="D93" s="134">
        <f>D94+D95</f>
        <v>4788</v>
      </c>
      <c r="E93" s="108"/>
      <c r="F93" s="149"/>
      <c r="G93" s="124" t="s">
        <v>20</v>
      </c>
      <c r="H93" s="108"/>
      <c r="I93" s="152"/>
      <c r="J93" s="153" t="e">
        <f>D93*G93</f>
        <v>#VALUE!</v>
      </c>
      <c r="K93" s="107"/>
      <c r="L93" s="55"/>
      <c r="M93" s="55"/>
      <c r="N93" s="55"/>
    </row>
    <row r="94" spans="1:14" x14ac:dyDescent="0.25">
      <c r="A94" s="135" t="s">
        <v>69</v>
      </c>
      <c r="B94" s="132" t="s">
        <v>208</v>
      </c>
      <c r="C94" s="136" t="s">
        <v>11</v>
      </c>
      <c r="D94" s="136">
        <f>1755+2000</f>
        <v>3755</v>
      </c>
      <c r="E94" s="101" t="s">
        <v>19</v>
      </c>
      <c r="F94" s="102"/>
      <c r="G94" s="110"/>
      <c r="H94" s="104" t="e">
        <f>D94*E94</f>
        <v>#VALUE!</v>
      </c>
      <c r="I94" s="105">
        <f>D94*F94</f>
        <v>0</v>
      </c>
      <c r="J94" s="106"/>
      <c r="K94" s="107" t="s">
        <v>30</v>
      </c>
      <c r="L94" s="55"/>
      <c r="M94" s="55"/>
      <c r="N94" s="55"/>
    </row>
    <row r="95" spans="1:14" x14ac:dyDescent="0.25">
      <c r="A95" s="135" t="s">
        <v>390</v>
      </c>
      <c r="B95" s="132" t="s">
        <v>209</v>
      </c>
      <c r="C95" s="136" t="s">
        <v>11</v>
      </c>
      <c r="D95" s="136">
        <f>643+390</f>
        <v>1033</v>
      </c>
      <c r="E95" s="101" t="s">
        <v>19</v>
      </c>
      <c r="F95" s="102"/>
      <c r="G95" s="110"/>
      <c r="H95" s="104" t="e">
        <f>D95*E95</f>
        <v>#VALUE!</v>
      </c>
      <c r="I95" s="105">
        <f>D95*F95</f>
        <v>0</v>
      </c>
      <c r="J95" s="106"/>
      <c r="K95" s="107" t="s">
        <v>30</v>
      </c>
      <c r="L95" s="55"/>
      <c r="M95" s="55"/>
      <c r="N95" s="55"/>
    </row>
    <row r="96" spans="1:14" ht="51" x14ac:dyDescent="0.25">
      <c r="A96" s="248" t="s">
        <v>391</v>
      </c>
      <c r="B96" s="137" t="s">
        <v>195</v>
      </c>
      <c r="C96" s="134" t="s">
        <v>11</v>
      </c>
      <c r="D96" s="134">
        <f>12144+5670+19408</f>
        <v>37222</v>
      </c>
      <c r="E96" s="108"/>
      <c r="F96" s="102"/>
      <c r="G96" s="109" t="s">
        <v>20</v>
      </c>
      <c r="H96" s="115"/>
      <c r="I96" s="116"/>
      <c r="J96" s="153" t="e">
        <f>D93*G93</f>
        <v>#VALUE!</v>
      </c>
      <c r="K96" s="107"/>
      <c r="L96" s="55"/>
      <c r="M96" s="55"/>
      <c r="N96" s="55"/>
    </row>
    <row r="97" spans="1:14" ht="38.25" x14ac:dyDescent="0.25">
      <c r="A97" s="135" t="s">
        <v>68</v>
      </c>
      <c r="B97" s="132" t="s">
        <v>338</v>
      </c>
      <c r="C97" s="136" t="s">
        <v>14</v>
      </c>
      <c r="D97" s="136">
        <f>105+75</f>
        <v>180</v>
      </c>
      <c r="E97" s="101" t="s">
        <v>19</v>
      </c>
      <c r="F97" s="102"/>
      <c r="G97" s="110"/>
      <c r="H97" s="104" t="e">
        <f>D97*E97</f>
        <v>#VALUE!</v>
      </c>
      <c r="I97" s="105">
        <f>D97*F97</f>
        <v>0</v>
      </c>
      <c r="J97" s="187"/>
      <c r="K97" s="107" t="s">
        <v>30</v>
      </c>
      <c r="L97" s="55"/>
      <c r="M97" s="55"/>
      <c r="N97" s="55"/>
    </row>
    <row r="98" spans="1:14" x14ac:dyDescent="0.25">
      <c r="A98" s="135" t="s">
        <v>70</v>
      </c>
      <c r="B98" s="132" t="s">
        <v>364</v>
      </c>
      <c r="C98" s="136" t="s">
        <v>14</v>
      </c>
      <c r="D98" s="136">
        <f>1204+1204</f>
        <v>2408</v>
      </c>
      <c r="E98" s="101" t="s">
        <v>19</v>
      </c>
      <c r="F98" s="102"/>
      <c r="G98" s="110"/>
      <c r="H98" s="104" t="e">
        <f>D98*E98</f>
        <v>#VALUE!</v>
      </c>
      <c r="I98" s="105">
        <f>D98*F98</f>
        <v>0</v>
      </c>
      <c r="J98" s="187"/>
      <c r="K98" s="107" t="s">
        <v>30</v>
      </c>
      <c r="L98" s="55"/>
      <c r="M98" s="55"/>
      <c r="N98" s="55"/>
    </row>
    <row r="99" spans="1:14" x14ac:dyDescent="0.25">
      <c r="A99" s="135" t="s">
        <v>71</v>
      </c>
      <c r="B99" s="132" t="s">
        <v>196</v>
      </c>
      <c r="C99" s="136" t="s">
        <v>11</v>
      </c>
      <c r="D99" s="136">
        <f>17784+19408</f>
        <v>37192</v>
      </c>
      <c r="E99" s="101" t="s">
        <v>19</v>
      </c>
      <c r="F99" s="149"/>
      <c r="G99" s="126"/>
      <c r="H99" s="104" t="e">
        <f>D99*E99</f>
        <v>#VALUE!</v>
      </c>
      <c r="I99" s="105">
        <f>D99*F99</f>
        <v>0</v>
      </c>
      <c r="J99" s="154"/>
      <c r="K99" s="107" t="s">
        <v>30</v>
      </c>
      <c r="L99" s="55"/>
      <c r="M99" s="55"/>
      <c r="N99" s="55"/>
    </row>
    <row r="100" spans="1:14" ht="51" x14ac:dyDescent="0.25">
      <c r="A100" s="248" t="s">
        <v>342</v>
      </c>
      <c r="B100" s="245" t="s">
        <v>193</v>
      </c>
      <c r="C100" s="134" t="s">
        <v>11</v>
      </c>
      <c r="D100" s="134">
        <f>D101</f>
        <v>1068</v>
      </c>
      <c r="E100" s="108"/>
      <c r="F100" s="116"/>
      <c r="G100" s="109" t="s">
        <v>20</v>
      </c>
      <c r="H100" s="115"/>
      <c r="I100" s="116"/>
      <c r="J100" s="153" t="e">
        <f>D100*G100</f>
        <v>#VALUE!</v>
      </c>
      <c r="K100" s="107"/>
      <c r="L100" s="55"/>
      <c r="M100" s="55"/>
      <c r="N100" s="55"/>
    </row>
    <row r="101" spans="1:14" x14ac:dyDescent="0.25">
      <c r="A101" s="135" t="s">
        <v>72</v>
      </c>
      <c r="B101" s="132" t="s">
        <v>194</v>
      </c>
      <c r="C101" s="136" t="s">
        <v>11</v>
      </c>
      <c r="D101" s="136">
        <f>740+328</f>
        <v>1068</v>
      </c>
      <c r="E101" s="101" t="s">
        <v>19</v>
      </c>
      <c r="F101" s="102"/>
      <c r="G101" s="103"/>
      <c r="H101" s="104" t="e">
        <f>D101*E101</f>
        <v>#VALUE!</v>
      </c>
      <c r="I101" s="105">
        <f>D101*F101</f>
        <v>0</v>
      </c>
      <c r="J101" s="106"/>
      <c r="K101" s="107" t="s">
        <v>30</v>
      </c>
      <c r="L101" s="55"/>
      <c r="M101" s="55"/>
      <c r="N101" s="55"/>
    </row>
    <row r="102" spans="1:14" ht="15.75" thickBot="1" x14ac:dyDescent="0.3">
      <c r="A102" s="21"/>
      <c r="B102" s="71" t="s">
        <v>26</v>
      </c>
      <c r="C102" s="21"/>
      <c r="D102" s="21"/>
      <c r="E102" s="41"/>
      <c r="F102" s="42"/>
      <c r="G102" s="43"/>
      <c r="H102" s="68" t="e">
        <f>SUM(H82:H101)</f>
        <v>#VALUE!</v>
      </c>
      <c r="I102" s="69">
        <f>SUM(I82:I101)</f>
        <v>0</v>
      </c>
      <c r="J102" s="70" t="e">
        <f>SUM(J81:J100)</f>
        <v>#VALUE!</v>
      </c>
      <c r="K102" s="21"/>
      <c r="L102" s="21"/>
      <c r="M102" s="21"/>
      <c r="N102" s="21"/>
    </row>
    <row r="103" spans="1:14" ht="26.25" customHeight="1" thickBot="1" x14ac:dyDescent="0.3">
      <c r="A103" s="18"/>
      <c r="B103" s="298" t="s">
        <v>170</v>
      </c>
      <c r="C103" s="299"/>
      <c r="D103" s="299"/>
      <c r="E103" s="300"/>
      <c r="F103" s="300"/>
      <c r="G103" s="75"/>
      <c r="H103" s="44"/>
      <c r="I103" s="44"/>
      <c r="J103" s="45"/>
      <c r="K103" s="15"/>
      <c r="L103" s="16"/>
      <c r="M103" s="16"/>
      <c r="N103" s="17"/>
    </row>
    <row r="104" spans="1:14" ht="46.5" customHeight="1" x14ac:dyDescent="0.25">
      <c r="A104" s="241">
        <v>23</v>
      </c>
      <c r="B104" s="242" t="s">
        <v>171</v>
      </c>
      <c r="C104" s="241" t="s">
        <v>11</v>
      </c>
      <c r="D104" s="249">
        <f>D105+D106</f>
        <v>1200</v>
      </c>
      <c r="E104" s="250"/>
      <c r="F104" s="251"/>
      <c r="G104" s="283" t="s">
        <v>20</v>
      </c>
      <c r="H104" s="72"/>
      <c r="I104" s="32"/>
      <c r="J104" s="191" t="e">
        <f>D104*G104</f>
        <v>#VALUE!</v>
      </c>
      <c r="K104" s="53"/>
      <c r="L104" s="53"/>
      <c r="M104" s="53"/>
      <c r="N104" s="53"/>
    </row>
    <row r="105" spans="1:14" ht="24.75" customHeight="1" x14ac:dyDescent="0.25">
      <c r="A105" s="129" t="s">
        <v>73</v>
      </c>
      <c r="B105" s="130" t="s">
        <v>173</v>
      </c>
      <c r="C105" s="131" t="s">
        <v>11</v>
      </c>
      <c r="D105" s="252">
        <f>230+180</f>
        <v>410</v>
      </c>
      <c r="E105" s="34" t="s">
        <v>19</v>
      </c>
      <c r="F105" s="112"/>
      <c r="G105" s="65"/>
      <c r="H105" s="73" t="e">
        <f t="shared" ref="H105:H109" si="18">D105*E105</f>
        <v>#VALUE!</v>
      </c>
      <c r="I105" s="38">
        <f t="shared" si="11"/>
        <v>0</v>
      </c>
      <c r="J105" s="113"/>
      <c r="K105" s="24" t="s">
        <v>30</v>
      </c>
      <c r="L105" s="54"/>
      <c r="M105" s="54"/>
      <c r="N105" s="54"/>
    </row>
    <row r="106" spans="1:14" ht="19.5" customHeight="1" x14ac:dyDescent="0.25">
      <c r="A106" s="129" t="s">
        <v>392</v>
      </c>
      <c r="B106" s="130" t="s">
        <v>174</v>
      </c>
      <c r="C106" s="131" t="s">
        <v>11</v>
      </c>
      <c r="D106" s="252">
        <f>430+360</f>
        <v>790</v>
      </c>
      <c r="E106" s="34" t="s">
        <v>19</v>
      </c>
      <c r="F106" s="112"/>
      <c r="G106" s="65"/>
      <c r="H106" s="73" t="e">
        <f t="shared" si="18"/>
        <v>#VALUE!</v>
      </c>
      <c r="I106" s="38">
        <f t="shared" si="11"/>
        <v>0</v>
      </c>
      <c r="J106" s="113"/>
      <c r="K106" s="24" t="s">
        <v>30</v>
      </c>
      <c r="L106" s="54"/>
      <c r="M106" s="54"/>
      <c r="N106" s="54"/>
    </row>
    <row r="107" spans="1:14" ht="24" customHeight="1" x14ac:dyDescent="0.25">
      <c r="A107" s="244" t="s">
        <v>402</v>
      </c>
      <c r="B107" s="245" t="s">
        <v>172</v>
      </c>
      <c r="C107" s="133" t="s">
        <v>11</v>
      </c>
      <c r="D107" s="253">
        <f>D108+D109</f>
        <v>321</v>
      </c>
      <c r="E107" s="100"/>
      <c r="F107" s="114"/>
      <c r="G107" s="40" t="s">
        <v>20</v>
      </c>
      <c r="H107" s="150"/>
      <c r="I107" s="114"/>
      <c r="J107" s="151" t="e">
        <f>D107*G107</f>
        <v>#VALUE!</v>
      </c>
      <c r="K107" s="24"/>
      <c r="L107" s="54"/>
      <c r="M107" s="54"/>
      <c r="N107" s="54"/>
    </row>
    <row r="108" spans="1:14" ht="25.5" x14ac:dyDescent="0.25">
      <c r="A108" s="129" t="s">
        <v>74</v>
      </c>
      <c r="B108" s="130" t="s">
        <v>175</v>
      </c>
      <c r="C108" s="131" t="s">
        <v>11</v>
      </c>
      <c r="D108" s="252">
        <f>160+65</f>
        <v>225</v>
      </c>
      <c r="E108" s="34" t="s">
        <v>19</v>
      </c>
      <c r="F108" s="112"/>
      <c r="G108" s="65"/>
      <c r="H108" s="73" t="e">
        <f t="shared" si="18"/>
        <v>#VALUE!</v>
      </c>
      <c r="I108" s="38">
        <f t="shared" si="11"/>
        <v>0</v>
      </c>
      <c r="J108" s="113"/>
      <c r="K108" s="24" t="s">
        <v>30</v>
      </c>
      <c r="L108" s="54"/>
      <c r="M108" s="54"/>
      <c r="N108" s="54"/>
    </row>
    <row r="109" spans="1:14" x14ac:dyDescent="0.25">
      <c r="A109" s="129" t="s">
        <v>75</v>
      </c>
      <c r="B109" s="130" t="s">
        <v>192</v>
      </c>
      <c r="C109" s="131" t="s">
        <v>11</v>
      </c>
      <c r="D109" s="252">
        <f>44+52</f>
        <v>96</v>
      </c>
      <c r="E109" s="34" t="s">
        <v>19</v>
      </c>
      <c r="F109" s="112"/>
      <c r="G109" s="65"/>
      <c r="H109" s="73" t="e">
        <f t="shared" si="18"/>
        <v>#VALUE!</v>
      </c>
      <c r="I109" s="38">
        <f t="shared" si="11"/>
        <v>0</v>
      </c>
      <c r="J109" s="113"/>
      <c r="K109" s="24" t="s">
        <v>30</v>
      </c>
      <c r="L109" s="54"/>
      <c r="M109" s="54"/>
      <c r="N109" s="54"/>
    </row>
    <row r="110" spans="1:14" ht="29.25" customHeight="1" x14ac:dyDescent="0.25">
      <c r="A110" s="133">
        <v>25</v>
      </c>
      <c r="B110" s="245" t="s">
        <v>177</v>
      </c>
      <c r="C110" s="133" t="s">
        <v>11</v>
      </c>
      <c r="D110" s="253">
        <f>D111+D112+D113</f>
        <v>3740</v>
      </c>
      <c r="E110" s="111"/>
      <c r="F110" s="112"/>
      <c r="G110" s="99" t="s">
        <v>20</v>
      </c>
      <c r="H110" s="74"/>
      <c r="I110" s="35"/>
      <c r="J110" s="151" t="e">
        <f>D110*G110</f>
        <v>#VALUE!</v>
      </c>
      <c r="K110" s="54"/>
      <c r="L110" s="54"/>
      <c r="M110" s="54"/>
      <c r="N110" s="54"/>
    </row>
    <row r="111" spans="1:14" x14ac:dyDescent="0.25">
      <c r="A111" s="129" t="s">
        <v>76</v>
      </c>
      <c r="B111" s="130" t="s">
        <v>178</v>
      </c>
      <c r="C111" s="131" t="s">
        <v>11</v>
      </c>
      <c r="D111" s="252">
        <f>960+770</f>
        <v>1730</v>
      </c>
      <c r="E111" s="34" t="s">
        <v>19</v>
      </c>
      <c r="F111" s="112"/>
      <c r="G111" s="65"/>
      <c r="H111" s="73" t="e">
        <f t="shared" ref="H111:H240" si="19">D111*E111</f>
        <v>#VALUE!</v>
      </c>
      <c r="I111" s="38">
        <f t="shared" ref="I111:I115" si="20">D111*F111</f>
        <v>0</v>
      </c>
      <c r="J111" s="113"/>
      <c r="K111" s="24" t="s">
        <v>30</v>
      </c>
      <c r="L111" s="54"/>
      <c r="M111" s="54"/>
      <c r="N111" s="54"/>
    </row>
    <row r="112" spans="1:14" x14ac:dyDescent="0.25">
      <c r="A112" s="129" t="s">
        <v>77</v>
      </c>
      <c r="B112" s="130" t="s">
        <v>179</v>
      </c>
      <c r="C112" s="131" t="s">
        <v>11</v>
      </c>
      <c r="D112" s="252">
        <f>620+620</f>
        <v>1240</v>
      </c>
      <c r="E112" s="34" t="s">
        <v>19</v>
      </c>
      <c r="F112" s="112"/>
      <c r="G112" s="65"/>
      <c r="H112" s="73" t="e">
        <f t="shared" si="19"/>
        <v>#VALUE!</v>
      </c>
      <c r="I112" s="38">
        <f t="shared" si="20"/>
        <v>0</v>
      </c>
      <c r="J112" s="113"/>
      <c r="K112" s="24" t="s">
        <v>30</v>
      </c>
      <c r="L112" s="54"/>
      <c r="M112" s="54"/>
      <c r="N112" s="54"/>
    </row>
    <row r="113" spans="1:14" x14ac:dyDescent="0.25">
      <c r="A113" s="129" t="s">
        <v>394</v>
      </c>
      <c r="B113" s="130" t="s">
        <v>180</v>
      </c>
      <c r="C113" s="131" t="s">
        <v>11</v>
      </c>
      <c r="D113" s="252">
        <f>420+350</f>
        <v>770</v>
      </c>
      <c r="E113" s="34" t="s">
        <v>19</v>
      </c>
      <c r="F113" s="112"/>
      <c r="G113" s="65"/>
      <c r="H113" s="73" t="e">
        <f t="shared" si="19"/>
        <v>#VALUE!</v>
      </c>
      <c r="I113" s="38">
        <f t="shared" si="20"/>
        <v>0</v>
      </c>
      <c r="J113" s="113"/>
      <c r="K113" s="24" t="s">
        <v>30</v>
      </c>
      <c r="L113" s="54"/>
      <c r="M113" s="54"/>
      <c r="N113" s="54"/>
    </row>
    <row r="114" spans="1:14" ht="28.5" customHeight="1" x14ac:dyDescent="0.25">
      <c r="A114" s="244" t="s">
        <v>78</v>
      </c>
      <c r="B114" s="245" t="s">
        <v>187</v>
      </c>
      <c r="C114" s="133" t="s">
        <v>11</v>
      </c>
      <c r="D114" s="253">
        <f>D115</f>
        <v>60</v>
      </c>
      <c r="E114" s="100"/>
      <c r="F114" s="112"/>
      <c r="G114" s="40" t="s">
        <v>20</v>
      </c>
      <c r="H114" s="117"/>
      <c r="I114" s="112"/>
      <c r="J114" s="151" t="e">
        <f t="shared" ref="J114" si="21">D114*G114</f>
        <v>#VALUE!</v>
      </c>
      <c r="K114" s="24" t="s">
        <v>30</v>
      </c>
      <c r="L114" s="54"/>
      <c r="M114" s="54"/>
      <c r="N114" s="54"/>
    </row>
    <row r="115" spans="1:14" x14ac:dyDescent="0.25">
      <c r="A115" s="129" t="s">
        <v>79</v>
      </c>
      <c r="B115" s="130" t="s">
        <v>191</v>
      </c>
      <c r="C115" s="131" t="s">
        <v>11</v>
      </c>
      <c r="D115" s="252">
        <f>32+28</f>
        <v>60</v>
      </c>
      <c r="E115" s="34" t="s">
        <v>19</v>
      </c>
      <c r="F115" s="112"/>
      <c r="G115" s="98"/>
      <c r="H115" s="73" t="e">
        <f t="shared" si="19"/>
        <v>#VALUE!</v>
      </c>
      <c r="I115" s="38">
        <f t="shared" si="20"/>
        <v>0</v>
      </c>
      <c r="J115" s="51"/>
      <c r="K115" s="24" t="s">
        <v>30</v>
      </c>
      <c r="L115" s="54"/>
      <c r="M115" s="54"/>
      <c r="N115" s="54"/>
    </row>
    <row r="116" spans="1:14" x14ac:dyDescent="0.25">
      <c r="A116" s="244" t="s">
        <v>395</v>
      </c>
      <c r="B116" s="245" t="s">
        <v>343</v>
      </c>
      <c r="C116" s="133" t="s">
        <v>14</v>
      </c>
      <c r="D116" s="253">
        <f>D117+D118+D119+D120+D121+D122+D123+D124+D125</f>
        <v>442</v>
      </c>
      <c r="E116" s="100"/>
      <c r="F116" s="114"/>
      <c r="G116" s="40" t="s">
        <v>20</v>
      </c>
      <c r="H116" s="150"/>
      <c r="I116" s="114"/>
      <c r="J116" s="186" t="e">
        <f>D116*G116</f>
        <v>#VALUE!</v>
      </c>
      <c r="K116" s="24"/>
      <c r="L116" s="54"/>
      <c r="M116" s="54"/>
      <c r="N116" s="54"/>
    </row>
    <row r="117" spans="1:14" ht="21.75" customHeight="1" x14ac:dyDescent="0.25">
      <c r="A117" s="129" t="s">
        <v>80</v>
      </c>
      <c r="B117" s="130" t="s">
        <v>344</v>
      </c>
      <c r="C117" s="131" t="s">
        <v>14</v>
      </c>
      <c r="D117" s="252">
        <f>50+60</f>
        <v>110</v>
      </c>
      <c r="E117" s="34" t="s">
        <v>19</v>
      </c>
      <c r="F117" s="112"/>
      <c r="G117" s="98"/>
      <c r="H117" s="73" t="e">
        <f>D117*E117</f>
        <v>#VALUE!</v>
      </c>
      <c r="I117" s="38">
        <f>D117*F117</f>
        <v>0</v>
      </c>
      <c r="J117" s="51"/>
      <c r="K117" s="24" t="s">
        <v>30</v>
      </c>
      <c r="L117" s="54"/>
      <c r="M117" s="54"/>
      <c r="N117" s="54"/>
    </row>
    <row r="118" spans="1:14" x14ac:dyDescent="0.25">
      <c r="A118" s="129" t="s">
        <v>440</v>
      </c>
      <c r="B118" s="130" t="s">
        <v>345</v>
      </c>
      <c r="C118" s="131" t="s">
        <v>14</v>
      </c>
      <c r="D118" s="252">
        <f>60+60</f>
        <v>120</v>
      </c>
      <c r="E118" s="34" t="s">
        <v>19</v>
      </c>
      <c r="F118" s="112"/>
      <c r="G118" s="98"/>
      <c r="H118" s="73" t="e">
        <f t="shared" ref="H118:H125" si="22">D118*E118</f>
        <v>#VALUE!</v>
      </c>
      <c r="I118" s="38">
        <f t="shared" ref="I118:I125" si="23">D118*F118</f>
        <v>0</v>
      </c>
      <c r="J118" s="51"/>
      <c r="K118" s="24" t="s">
        <v>30</v>
      </c>
      <c r="L118" s="54"/>
      <c r="M118" s="54"/>
      <c r="N118" s="54"/>
    </row>
    <row r="119" spans="1:14" x14ac:dyDescent="0.25">
      <c r="A119" s="129" t="s">
        <v>441</v>
      </c>
      <c r="B119" s="130" t="s">
        <v>346</v>
      </c>
      <c r="C119" s="131" t="s">
        <v>14</v>
      </c>
      <c r="D119" s="252">
        <f>30+24</f>
        <v>54</v>
      </c>
      <c r="E119" s="34" t="s">
        <v>19</v>
      </c>
      <c r="F119" s="112"/>
      <c r="G119" s="98"/>
      <c r="H119" s="73" t="e">
        <f t="shared" si="22"/>
        <v>#VALUE!</v>
      </c>
      <c r="I119" s="38">
        <f t="shared" si="23"/>
        <v>0</v>
      </c>
      <c r="J119" s="51"/>
      <c r="K119" s="24" t="s">
        <v>30</v>
      </c>
      <c r="L119" s="54"/>
      <c r="M119" s="54"/>
      <c r="N119" s="54"/>
    </row>
    <row r="120" spans="1:14" x14ac:dyDescent="0.25">
      <c r="A120" s="129" t="s">
        <v>442</v>
      </c>
      <c r="B120" s="130" t="s">
        <v>347</v>
      </c>
      <c r="C120" s="131" t="s">
        <v>14</v>
      </c>
      <c r="D120" s="252">
        <f>8+2</f>
        <v>10</v>
      </c>
      <c r="E120" s="34" t="s">
        <v>19</v>
      </c>
      <c r="F120" s="112"/>
      <c r="G120" s="98"/>
      <c r="H120" s="73" t="e">
        <f t="shared" si="22"/>
        <v>#VALUE!</v>
      </c>
      <c r="I120" s="38">
        <f t="shared" si="23"/>
        <v>0</v>
      </c>
      <c r="J120" s="51"/>
      <c r="K120" s="24" t="s">
        <v>30</v>
      </c>
      <c r="L120" s="54"/>
      <c r="M120" s="54"/>
      <c r="N120" s="54"/>
    </row>
    <row r="121" spans="1:14" x14ac:dyDescent="0.25">
      <c r="A121" s="129" t="s">
        <v>443</v>
      </c>
      <c r="B121" s="130" t="s">
        <v>348</v>
      </c>
      <c r="C121" s="131" t="s">
        <v>14</v>
      </c>
      <c r="D121" s="252">
        <f>20+4</f>
        <v>24</v>
      </c>
      <c r="E121" s="34" t="s">
        <v>19</v>
      </c>
      <c r="F121" s="112"/>
      <c r="G121" s="98"/>
      <c r="H121" s="73" t="e">
        <f t="shared" si="22"/>
        <v>#VALUE!</v>
      </c>
      <c r="I121" s="38">
        <f t="shared" si="23"/>
        <v>0</v>
      </c>
      <c r="J121" s="51"/>
      <c r="K121" s="24" t="s">
        <v>30</v>
      </c>
      <c r="L121" s="54"/>
      <c r="M121" s="54"/>
      <c r="N121" s="54"/>
    </row>
    <row r="122" spans="1:14" x14ac:dyDescent="0.25">
      <c r="A122" s="129" t="s">
        <v>444</v>
      </c>
      <c r="B122" s="130" t="s">
        <v>349</v>
      </c>
      <c r="C122" s="131" t="s">
        <v>14</v>
      </c>
      <c r="D122" s="252">
        <v>20</v>
      </c>
      <c r="E122" s="34" t="s">
        <v>19</v>
      </c>
      <c r="F122" s="112"/>
      <c r="G122" s="98"/>
      <c r="H122" s="73" t="e">
        <f t="shared" si="22"/>
        <v>#VALUE!</v>
      </c>
      <c r="I122" s="38">
        <f t="shared" si="23"/>
        <v>0</v>
      </c>
      <c r="J122" s="51"/>
      <c r="K122" s="24" t="s">
        <v>30</v>
      </c>
      <c r="L122" s="54"/>
      <c r="M122" s="54"/>
      <c r="N122" s="54"/>
    </row>
    <row r="123" spans="1:14" x14ac:dyDescent="0.25">
      <c r="A123" s="129" t="s">
        <v>445</v>
      </c>
      <c r="B123" s="130" t="s">
        <v>350</v>
      </c>
      <c r="C123" s="131" t="s">
        <v>14</v>
      </c>
      <c r="D123" s="252">
        <f>60+12</f>
        <v>72</v>
      </c>
      <c r="E123" s="34" t="s">
        <v>19</v>
      </c>
      <c r="F123" s="112"/>
      <c r="G123" s="98"/>
      <c r="H123" s="73" t="e">
        <f t="shared" si="22"/>
        <v>#VALUE!</v>
      </c>
      <c r="I123" s="38">
        <f t="shared" si="23"/>
        <v>0</v>
      </c>
      <c r="J123" s="51"/>
      <c r="K123" s="24" t="s">
        <v>30</v>
      </c>
      <c r="L123" s="54"/>
      <c r="M123" s="54"/>
      <c r="N123" s="54"/>
    </row>
    <row r="124" spans="1:14" x14ac:dyDescent="0.25">
      <c r="A124" s="129" t="s">
        <v>446</v>
      </c>
      <c r="B124" s="130" t="s">
        <v>434</v>
      </c>
      <c r="C124" s="131" t="s">
        <v>14</v>
      </c>
      <c r="D124" s="252">
        <v>12</v>
      </c>
      <c r="E124" s="34" t="s">
        <v>19</v>
      </c>
      <c r="F124" s="112"/>
      <c r="G124" s="98"/>
      <c r="H124" s="73" t="e">
        <f t="shared" si="22"/>
        <v>#VALUE!</v>
      </c>
      <c r="I124" s="38">
        <f t="shared" si="23"/>
        <v>0</v>
      </c>
      <c r="J124" s="51"/>
      <c r="K124" s="24" t="s">
        <v>30</v>
      </c>
      <c r="L124" s="54"/>
      <c r="M124" s="54"/>
      <c r="N124" s="54"/>
    </row>
    <row r="125" spans="1:14" x14ac:dyDescent="0.25">
      <c r="A125" s="129" t="s">
        <v>447</v>
      </c>
      <c r="B125" s="130" t="s">
        <v>351</v>
      </c>
      <c r="C125" s="131" t="s">
        <v>14</v>
      </c>
      <c r="D125" s="252">
        <v>20</v>
      </c>
      <c r="E125" s="34" t="s">
        <v>19</v>
      </c>
      <c r="F125" s="112"/>
      <c r="G125" s="98"/>
      <c r="H125" s="73" t="e">
        <f t="shared" si="22"/>
        <v>#VALUE!</v>
      </c>
      <c r="I125" s="38">
        <f t="shared" si="23"/>
        <v>0</v>
      </c>
      <c r="J125" s="51"/>
      <c r="K125" s="24" t="s">
        <v>30</v>
      </c>
      <c r="L125" s="54"/>
      <c r="M125" s="54"/>
      <c r="N125" s="54"/>
    </row>
    <row r="126" spans="1:14" ht="63.75" customHeight="1" x14ac:dyDescent="0.25">
      <c r="A126" s="244" t="s">
        <v>81</v>
      </c>
      <c r="B126" s="245" t="s">
        <v>197</v>
      </c>
      <c r="C126" s="133" t="s">
        <v>11</v>
      </c>
      <c r="D126" s="253">
        <f>D127+D128+D129+D130</f>
        <v>34356</v>
      </c>
      <c r="E126" s="100"/>
      <c r="F126" s="114"/>
      <c r="G126" s="40" t="s">
        <v>20</v>
      </c>
      <c r="H126" s="150"/>
      <c r="I126" s="114"/>
      <c r="J126" s="151" t="e">
        <f>D126*G126</f>
        <v>#VALUE!</v>
      </c>
      <c r="K126" s="24"/>
      <c r="L126" s="54"/>
      <c r="M126" s="54"/>
      <c r="N126" s="54"/>
    </row>
    <row r="127" spans="1:14" s="158" customFormat="1" x14ac:dyDescent="0.25">
      <c r="A127" s="129" t="s">
        <v>82</v>
      </c>
      <c r="B127" s="130" t="s">
        <v>198</v>
      </c>
      <c r="C127" s="131" t="s">
        <v>11</v>
      </c>
      <c r="D127" s="252">
        <f>5975+6090+50+12300</f>
        <v>24415</v>
      </c>
      <c r="E127" s="34" t="s">
        <v>19</v>
      </c>
      <c r="F127" s="112"/>
      <c r="G127" s="98"/>
      <c r="H127" s="73" t="e">
        <f>D127*E127</f>
        <v>#VALUE!</v>
      </c>
      <c r="I127" s="38">
        <f>D127*F127</f>
        <v>0</v>
      </c>
      <c r="J127" s="113"/>
      <c r="K127" s="156" t="s">
        <v>30</v>
      </c>
      <c r="L127" s="157"/>
      <c r="M127" s="157"/>
      <c r="N127" s="157"/>
    </row>
    <row r="128" spans="1:14" ht="20.25" customHeight="1" x14ac:dyDescent="0.25">
      <c r="A128" s="129" t="s">
        <v>448</v>
      </c>
      <c r="B128" s="130" t="s">
        <v>199</v>
      </c>
      <c r="C128" s="131" t="s">
        <v>11</v>
      </c>
      <c r="D128" s="252">
        <f>80+45</f>
        <v>125</v>
      </c>
      <c r="E128" s="34" t="s">
        <v>19</v>
      </c>
      <c r="F128" s="112"/>
      <c r="G128" s="65"/>
      <c r="H128" s="73" t="e">
        <f t="shared" ref="H128:H130" si="24">D128*E128</f>
        <v>#VALUE!</v>
      </c>
      <c r="I128" s="38">
        <f t="shared" ref="I128:I130" si="25">D128*F128</f>
        <v>0</v>
      </c>
      <c r="J128" s="113"/>
      <c r="K128" s="24" t="s">
        <v>30</v>
      </c>
      <c r="L128" s="54"/>
      <c r="M128" s="54"/>
      <c r="N128" s="54"/>
    </row>
    <row r="129" spans="1:14" ht="16.5" customHeight="1" x14ac:dyDescent="0.25">
      <c r="A129" s="129" t="s">
        <v>449</v>
      </c>
      <c r="B129" s="254" t="s">
        <v>240</v>
      </c>
      <c r="C129" s="131" t="s">
        <v>11</v>
      </c>
      <c r="D129" s="252">
        <f>66+75</f>
        <v>141</v>
      </c>
      <c r="E129" s="34" t="s">
        <v>19</v>
      </c>
      <c r="F129" s="112"/>
      <c r="G129" s="65"/>
      <c r="H129" s="73" t="e">
        <f t="shared" si="24"/>
        <v>#VALUE!</v>
      </c>
      <c r="I129" s="38">
        <f t="shared" si="25"/>
        <v>0</v>
      </c>
      <c r="J129" s="113"/>
      <c r="K129" s="24" t="s">
        <v>30</v>
      </c>
      <c r="L129" s="54"/>
      <c r="M129" s="54"/>
      <c r="N129" s="54"/>
    </row>
    <row r="130" spans="1:14" ht="16.5" customHeight="1" x14ac:dyDescent="0.25">
      <c r="A130" s="129" t="s">
        <v>450</v>
      </c>
      <c r="B130" s="254" t="s">
        <v>241</v>
      </c>
      <c r="C130" s="131" t="s">
        <v>11</v>
      </c>
      <c r="D130" s="252">
        <f>4455+5220</f>
        <v>9675</v>
      </c>
      <c r="E130" s="34" t="s">
        <v>19</v>
      </c>
      <c r="F130" s="112"/>
      <c r="G130" s="65"/>
      <c r="H130" s="73" t="e">
        <f t="shared" si="24"/>
        <v>#VALUE!</v>
      </c>
      <c r="I130" s="38">
        <f t="shared" si="25"/>
        <v>0</v>
      </c>
      <c r="J130" s="113"/>
      <c r="K130" s="24" t="s">
        <v>30</v>
      </c>
      <c r="L130" s="54"/>
      <c r="M130" s="54"/>
      <c r="N130" s="54"/>
    </row>
    <row r="131" spans="1:14" ht="63.75" x14ac:dyDescent="0.25">
      <c r="A131" s="133">
        <v>29</v>
      </c>
      <c r="B131" s="255" t="s">
        <v>200</v>
      </c>
      <c r="C131" s="133" t="s">
        <v>11</v>
      </c>
      <c r="D131" s="253">
        <f>D132+D133+D134+D135+D136+D137</f>
        <v>2812</v>
      </c>
      <c r="E131" s="111"/>
      <c r="F131" s="112"/>
      <c r="G131" s="40" t="s">
        <v>20</v>
      </c>
      <c r="H131" s="74"/>
      <c r="I131" s="35"/>
      <c r="J131" s="151" t="e">
        <f t="shared" ref="J131" si="26">D131*G131</f>
        <v>#VALUE!</v>
      </c>
      <c r="K131" s="54"/>
      <c r="L131" s="54"/>
      <c r="M131" s="54"/>
      <c r="N131" s="54"/>
    </row>
    <row r="132" spans="1:14" x14ac:dyDescent="0.25">
      <c r="A132" s="129" t="s">
        <v>396</v>
      </c>
      <c r="B132" s="130" t="s">
        <v>201</v>
      </c>
      <c r="C132" s="131" t="s">
        <v>11</v>
      </c>
      <c r="D132" s="252">
        <f>660+530</f>
        <v>1190</v>
      </c>
      <c r="E132" s="34" t="s">
        <v>19</v>
      </c>
      <c r="F132" s="112"/>
      <c r="G132" s="98"/>
      <c r="H132" s="73" t="e">
        <f t="shared" si="19"/>
        <v>#VALUE!</v>
      </c>
      <c r="I132" s="38">
        <f t="shared" ref="I132:I137" si="27">D132*F132</f>
        <v>0</v>
      </c>
      <c r="J132" s="51"/>
      <c r="K132" s="24" t="s">
        <v>30</v>
      </c>
      <c r="L132" s="54"/>
      <c r="M132" s="54"/>
      <c r="N132" s="54"/>
    </row>
    <row r="133" spans="1:14" x14ac:dyDescent="0.25">
      <c r="A133" s="129" t="s">
        <v>404</v>
      </c>
      <c r="B133" s="130" t="s">
        <v>202</v>
      </c>
      <c r="C133" s="131" t="s">
        <v>11</v>
      </c>
      <c r="D133" s="252">
        <f>410+420</f>
        <v>830</v>
      </c>
      <c r="E133" s="34" t="s">
        <v>19</v>
      </c>
      <c r="F133" s="112"/>
      <c r="G133" s="98"/>
      <c r="H133" s="73" t="e">
        <f t="shared" si="19"/>
        <v>#VALUE!</v>
      </c>
      <c r="I133" s="38">
        <f t="shared" si="27"/>
        <v>0</v>
      </c>
      <c r="J133" s="51"/>
      <c r="K133" s="24" t="s">
        <v>30</v>
      </c>
      <c r="L133" s="54"/>
      <c r="M133" s="54"/>
      <c r="N133" s="54"/>
    </row>
    <row r="134" spans="1:14" x14ac:dyDescent="0.25">
      <c r="A134" s="129" t="s">
        <v>451</v>
      </c>
      <c r="B134" s="130" t="s">
        <v>203</v>
      </c>
      <c r="C134" s="131" t="s">
        <v>11</v>
      </c>
      <c r="D134" s="252">
        <v>96</v>
      </c>
      <c r="E134" s="34" t="s">
        <v>19</v>
      </c>
      <c r="F134" s="112"/>
      <c r="G134" s="98"/>
      <c r="H134" s="73" t="e">
        <f t="shared" si="19"/>
        <v>#VALUE!</v>
      </c>
      <c r="I134" s="38">
        <f t="shared" si="27"/>
        <v>0</v>
      </c>
      <c r="J134" s="51"/>
      <c r="K134" s="24" t="s">
        <v>30</v>
      </c>
      <c r="L134" s="54"/>
      <c r="M134" s="54"/>
      <c r="N134" s="54"/>
    </row>
    <row r="135" spans="1:14" x14ac:dyDescent="0.25">
      <c r="A135" s="129" t="s">
        <v>452</v>
      </c>
      <c r="B135" s="130" t="s">
        <v>204</v>
      </c>
      <c r="C135" s="131" t="s">
        <v>11</v>
      </c>
      <c r="D135" s="252">
        <f>8+119</f>
        <v>127</v>
      </c>
      <c r="E135" s="34" t="s">
        <v>19</v>
      </c>
      <c r="F135" s="112"/>
      <c r="G135" s="98"/>
      <c r="H135" s="73" t="e">
        <f t="shared" si="19"/>
        <v>#VALUE!</v>
      </c>
      <c r="I135" s="38">
        <f t="shared" si="27"/>
        <v>0</v>
      </c>
      <c r="J135" s="51"/>
      <c r="K135" s="24" t="s">
        <v>30</v>
      </c>
      <c r="L135" s="54"/>
      <c r="M135" s="54"/>
      <c r="N135" s="54"/>
    </row>
    <row r="136" spans="1:14" x14ac:dyDescent="0.25">
      <c r="A136" s="129" t="s">
        <v>453</v>
      </c>
      <c r="B136" s="130" t="s">
        <v>393</v>
      </c>
      <c r="C136" s="131" t="s">
        <v>11</v>
      </c>
      <c r="D136" s="252">
        <v>120</v>
      </c>
      <c r="E136" s="34" t="s">
        <v>19</v>
      </c>
      <c r="F136" s="112"/>
      <c r="G136" s="98"/>
      <c r="H136" s="73" t="e">
        <f t="shared" si="19"/>
        <v>#VALUE!</v>
      </c>
      <c r="I136" s="38">
        <f t="shared" si="27"/>
        <v>0</v>
      </c>
      <c r="J136" s="51"/>
      <c r="K136" s="24" t="s">
        <v>30</v>
      </c>
      <c r="L136" s="54"/>
      <c r="M136" s="54"/>
      <c r="N136" s="54"/>
    </row>
    <row r="137" spans="1:14" x14ac:dyDescent="0.25">
      <c r="A137" s="129" t="s">
        <v>454</v>
      </c>
      <c r="B137" s="130" t="s">
        <v>242</v>
      </c>
      <c r="C137" s="131" t="s">
        <v>11</v>
      </c>
      <c r="D137" s="252">
        <f>254+195</f>
        <v>449</v>
      </c>
      <c r="E137" s="34" t="s">
        <v>19</v>
      </c>
      <c r="F137" s="112"/>
      <c r="G137" s="98"/>
      <c r="H137" s="73" t="e">
        <f t="shared" si="19"/>
        <v>#VALUE!</v>
      </c>
      <c r="I137" s="38">
        <f t="shared" si="27"/>
        <v>0</v>
      </c>
      <c r="J137" s="51"/>
      <c r="K137" s="24" t="s">
        <v>30</v>
      </c>
      <c r="L137" s="54"/>
      <c r="M137" s="54"/>
      <c r="N137" s="54"/>
    </row>
    <row r="138" spans="1:14" ht="63.75" customHeight="1" x14ac:dyDescent="0.25">
      <c r="A138" s="133">
        <v>30</v>
      </c>
      <c r="B138" s="245" t="s">
        <v>205</v>
      </c>
      <c r="C138" s="133" t="s">
        <v>11</v>
      </c>
      <c r="D138" s="256">
        <f>D139+D140+D141+D142</f>
        <v>3657</v>
      </c>
      <c r="E138" s="111"/>
      <c r="F138" s="112"/>
      <c r="G138" s="40" t="s">
        <v>20</v>
      </c>
      <c r="H138" s="74"/>
      <c r="I138" s="35"/>
      <c r="J138" s="151" t="e">
        <f t="shared" ref="J138" si="28">D138*G138</f>
        <v>#VALUE!</v>
      </c>
      <c r="K138" s="54"/>
      <c r="L138" s="54"/>
      <c r="M138" s="54"/>
      <c r="N138" s="54"/>
    </row>
    <row r="139" spans="1:14" ht="16.5" customHeight="1" x14ac:dyDescent="0.25">
      <c r="A139" s="129" t="s">
        <v>83</v>
      </c>
      <c r="B139" s="257" t="s">
        <v>206</v>
      </c>
      <c r="C139" s="131" t="s">
        <v>11</v>
      </c>
      <c r="D139" s="252">
        <f>50+107</f>
        <v>157</v>
      </c>
      <c r="E139" s="34" t="s">
        <v>19</v>
      </c>
      <c r="F139" s="112"/>
      <c r="G139" s="98"/>
      <c r="H139" s="73" t="e">
        <f t="shared" si="19"/>
        <v>#VALUE!</v>
      </c>
      <c r="I139" s="38">
        <f t="shared" ref="I139:I147" si="29">D139*F139</f>
        <v>0</v>
      </c>
      <c r="J139" s="51"/>
      <c r="K139" s="24" t="s">
        <v>30</v>
      </c>
      <c r="L139" s="54"/>
      <c r="M139" s="54"/>
      <c r="N139" s="54"/>
    </row>
    <row r="140" spans="1:14" x14ac:dyDescent="0.25">
      <c r="A140" s="129" t="s">
        <v>455</v>
      </c>
      <c r="B140" s="257" t="s">
        <v>210</v>
      </c>
      <c r="C140" s="131" t="s">
        <v>11</v>
      </c>
      <c r="D140" s="252">
        <f>645+620</f>
        <v>1265</v>
      </c>
      <c r="E140" s="34" t="s">
        <v>19</v>
      </c>
      <c r="F140" s="112"/>
      <c r="G140" s="98"/>
      <c r="H140" s="73" t="e">
        <f t="shared" si="19"/>
        <v>#VALUE!</v>
      </c>
      <c r="I140" s="38">
        <f t="shared" si="29"/>
        <v>0</v>
      </c>
      <c r="J140" s="51"/>
      <c r="K140" s="24" t="s">
        <v>30</v>
      </c>
      <c r="L140" s="54"/>
      <c r="M140" s="54"/>
      <c r="N140" s="54"/>
    </row>
    <row r="141" spans="1:14" ht="19.5" customHeight="1" x14ac:dyDescent="0.25">
      <c r="A141" s="129" t="s">
        <v>456</v>
      </c>
      <c r="B141" s="130" t="s">
        <v>243</v>
      </c>
      <c r="C141" s="131" t="s">
        <v>11</v>
      </c>
      <c r="D141" s="252">
        <f>890+730</f>
        <v>1620</v>
      </c>
      <c r="E141" s="34" t="s">
        <v>19</v>
      </c>
      <c r="F141" s="112"/>
      <c r="G141" s="98"/>
      <c r="H141" s="73" t="e">
        <f t="shared" si="19"/>
        <v>#VALUE!</v>
      </c>
      <c r="I141" s="38">
        <f t="shared" si="29"/>
        <v>0</v>
      </c>
      <c r="J141" s="51"/>
      <c r="K141" s="24" t="s">
        <v>30</v>
      </c>
      <c r="L141" s="54"/>
      <c r="M141" s="54"/>
      <c r="N141" s="54"/>
    </row>
    <row r="142" spans="1:14" ht="14.25" customHeight="1" x14ac:dyDescent="0.25">
      <c r="A142" s="129" t="s">
        <v>457</v>
      </c>
      <c r="B142" s="130" t="s">
        <v>244</v>
      </c>
      <c r="C142" s="131" t="s">
        <v>11</v>
      </c>
      <c r="D142" s="252">
        <f>250+365</f>
        <v>615</v>
      </c>
      <c r="E142" s="34" t="s">
        <v>19</v>
      </c>
      <c r="F142" s="112"/>
      <c r="G142" s="98"/>
      <c r="H142" s="73" t="e">
        <f t="shared" si="19"/>
        <v>#VALUE!</v>
      </c>
      <c r="I142" s="38">
        <f t="shared" si="29"/>
        <v>0</v>
      </c>
      <c r="J142" s="51"/>
      <c r="K142" s="24" t="s">
        <v>30</v>
      </c>
      <c r="L142" s="54"/>
      <c r="M142" s="54"/>
      <c r="N142" s="54"/>
    </row>
    <row r="143" spans="1:14" ht="65.25" customHeight="1" x14ac:dyDescent="0.25">
      <c r="A143" s="244" t="s">
        <v>274</v>
      </c>
      <c r="B143" s="245" t="s">
        <v>245</v>
      </c>
      <c r="C143" s="133" t="s">
        <v>11</v>
      </c>
      <c r="D143" s="256">
        <f>D144+D145+D146+D147</f>
        <v>2953</v>
      </c>
      <c r="E143" s="100"/>
      <c r="F143" s="114"/>
      <c r="G143" s="40" t="s">
        <v>20</v>
      </c>
      <c r="H143" s="150"/>
      <c r="I143" s="114"/>
      <c r="J143" s="151" t="e">
        <f>D143*G143</f>
        <v>#VALUE!</v>
      </c>
      <c r="K143" s="24"/>
      <c r="L143" s="54"/>
      <c r="M143" s="54"/>
      <c r="N143" s="54"/>
    </row>
    <row r="144" spans="1:14" ht="17.25" customHeight="1" x14ac:dyDescent="0.25">
      <c r="A144" s="129" t="s">
        <v>84</v>
      </c>
      <c r="B144" s="130" t="s">
        <v>247</v>
      </c>
      <c r="C144" s="131" t="s">
        <v>11</v>
      </c>
      <c r="D144" s="252">
        <f>305+350</f>
        <v>655</v>
      </c>
      <c r="E144" s="34" t="s">
        <v>19</v>
      </c>
      <c r="F144" s="114"/>
      <c r="G144" s="65"/>
      <c r="H144" s="73" t="e">
        <f>D144*E144</f>
        <v>#VALUE!</v>
      </c>
      <c r="I144" s="38">
        <f>D144*F144</f>
        <v>0</v>
      </c>
      <c r="J144" s="155"/>
      <c r="K144" s="24" t="s">
        <v>30</v>
      </c>
      <c r="L144" s="54"/>
      <c r="M144" s="54"/>
      <c r="N144" s="54"/>
    </row>
    <row r="145" spans="1:14" ht="19.5" customHeight="1" x14ac:dyDescent="0.25">
      <c r="A145" s="129" t="s">
        <v>458</v>
      </c>
      <c r="B145" s="130" t="s">
        <v>248</v>
      </c>
      <c r="C145" s="131" t="s">
        <v>11</v>
      </c>
      <c r="D145" s="252">
        <f>268+145</f>
        <v>413</v>
      </c>
      <c r="E145" s="34" t="s">
        <v>19</v>
      </c>
      <c r="F145" s="114"/>
      <c r="G145" s="65"/>
      <c r="H145" s="73" t="e">
        <f t="shared" ref="H145:H146" si="30">D145*E145</f>
        <v>#VALUE!</v>
      </c>
      <c r="I145" s="38">
        <f t="shared" ref="I145:I146" si="31">D145*F145</f>
        <v>0</v>
      </c>
      <c r="J145" s="155"/>
      <c r="K145" s="24" t="s">
        <v>30</v>
      </c>
      <c r="L145" s="54"/>
      <c r="M145" s="54"/>
      <c r="N145" s="54"/>
    </row>
    <row r="146" spans="1:14" ht="16.5" customHeight="1" x14ac:dyDescent="0.25">
      <c r="A146" s="129" t="s">
        <v>459</v>
      </c>
      <c r="B146" s="130" t="s">
        <v>246</v>
      </c>
      <c r="C146" s="131" t="s">
        <v>11</v>
      </c>
      <c r="D146" s="252">
        <f>660+685</f>
        <v>1345</v>
      </c>
      <c r="E146" s="34" t="s">
        <v>19</v>
      </c>
      <c r="F146" s="114"/>
      <c r="G146" s="65"/>
      <c r="H146" s="73" t="e">
        <f t="shared" si="30"/>
        <v>#VALUE!</v>
      </c>
      <c r="I146" s="38">
        <f t="shared" si="31"/>
        <v>0</v>
      </c>
      <c r="J146" s="155"/>
      <c r="K146" s="24" t="s">
        <v>30</v>
      </c>
      <c r="L146" s="54"/>
      <c r="M146" s="54"/>
      <c r="N146" s="54"/>
    </row>
    <row r="147" spans="1:14" ht="21.75" customHeight="1" thickBot="1" x14ac:dyDescent="0.3">
      <c r="A147" s="129" t="s">
        <v>460</v>
      </c>
      <c r="B147" s="258" t="s">
        <v>249</v>
      </c>
      <c r="C147" s="259" t="s">
        <v>11</v>
      </c>
      <c r="D147" s="260">
        <f>270+270</f>
        <v>540</v>
      </c>
      <c r="E147" s="284" t="s">
        <v>19</v>
      </c>
      <c r="F147" s="261"/>
      <c r="G147" s="262"/>
      <c r="H147" s="192" t="e">
        <f t="shared" si="19"/>
        <v>#VALUE!</v>
      </c>
      <c r="I147" s="193">
        <f t="shared" si="29"/>
        <v>0</v>
      </c>
      <c r="J147" s="194"/>
      <c r="K147" s="24" t="s">
        <v>30</v>
      </c>
      <c r="L147" s="55"/>
      <c r="M147" s="55"/>
      <c r="N147" s="55"/>
    </row>
    <row r="148" spans="1:14" ht="21.75" customHeight="1" thickBot="1" x14ac:dyDescent="0.3">
      <c r="A148" s="214"/>
      <c r="B148" s="224" t="s">
        <v>439</v>
      </c>
      <c r="C148" s="220"/>
      <c r="D148" s="220"/>
      <c r="E148" s="221"/>
      <c r="F148" s="222"/>
      <c r="G148" s="223"/>
      <c r="H148" s="219" t="e">
        <f>SUM(H105:H147)</f>
        <v>#VALUE!</v>
      </c>
      <c r="I148" s="219">
        <f>SUM(I105:I147)</f>
        <v>0</v>
      </c>
      <c r="J148" s="225" t="e">
        <f>J143+J138+J131+J126+J116+J114+J110+J107+J104</f>
        <v>#VALUE!</v>
      </c>
      <c r="K148" s="146"/>
      <c r="L148" s="66"/>
      <c r="M148" s="66"/>
      <c r="N148" s="66"/>
    </row>
    <row r="149" spans="1:14" ht="21.75" customHeight="1" thickBot="1" x14ac:dyDescent="0.3">
      <c r="A149" s="188"/>
      <c r="B149" s="305" t="s">
        <v>354</v>
      </c>
      <c r="C149" s="306"/>
      <c r="D149" s="306"/>
      <c r="E149" s="306"/>
      <c r="F149" s="306"/>
      <c r="G149" s="307"/>
      <c r="H149" s="199"/>
      <c r="I149" s="200"/>
      <c r="J149" s="189"/>
      <c r="K149" s="190"/>
      <c r="L149" s="213"/>
      <c r="M149" s="213"/>
      <c r="N149" s="213"/>
    </row>
    <row r="150" spans="1:14" ht="38.25" customHeight="1" x14ac:dyDescent="0.25">
      <c r="A150" s="263" t="s">
        <v>275</v>
      </c>
      <c r="B150" s="242" t="s">
        <v>207</v>
      </c>
      <c r="C150" s="264" t="s">
        <v>11</v>
      </c>
      <c r="D150" s="265">
        <f>D151</f>
        <v>260</v>
      </c>
      <c r="E150" s="198"/>
      <c r="F150" s="197"/>
      <c r="G150" s="203" t="s">
        <v>20</v>
      </c>
      <c r="H150" s="201"/>
      <c r="I150" s="202"/>
      <c r="J150" s="211" t="e">
        <f>D150*G150</f>
        <v>#VALUE!</v>
      </c>
      <c r="K150" s="195"/>
      <c r="L150" s="196"/>
      <c r="M150" s="55"/>
      <c r="N150" s="55"/>
    </row>
    <row r="151" spans="1:14" ht="14.25" customHeight="1" thickBot="1" x14ac:dyDescent="0.3">
      <c r="A151" s="135" t="s">
        <v>405</v>
      </c>
      <c r="B151" s="130" t="s">
        <v>209</v>
      </c>
      <c r="C151" s="136" t="s">
        <v>11</v>
      </c>
      <c r="D151" s="266">
        <f>135+125</f>
        <v>260</v>
      </c>
      <c r="E151" s="101" t="s">
        <v>19</v>
      </c>
      <c r="F151" s="102"/>
      <c r="G151" s="103"/>
      <c r="H151" s="162" t="e">
        <f>D151*E151</f>
        <v>#VALUE!</v>
      </c>
      <c r="I151" s="105">
        <f>D151*F151</f>
        <v>0</v>
      </c>
      <c r="J151" s="106"/>
      <c r="K151" s="107" t="s">
        <v>30</v>
      </c>
      <c r="L151" s="55"/>
      <c r="M151" s="55"/>
      <c r="N151" s="55"/>
    </row>
    <row r="152" spans="1:14" ht="64.5" customHeight="1" thickBot="1" x14ac:dyDescent="0.3">
      <c r="A152" s="248" t="s">
        <v>85</v>
      </c>
      <c r="B152" s="245" t="s">
        <v>355</v>
      </c>
      <c r="C152" s="134" t="s">
        <v>11</v>
      </c>
      <c r="D152" s="165">
        <f>116+101</f>
        <v>217</v>
      </c>
      <c r="E152" s="108"/>
      <c r="F152" s="102"/>
      <c r="G152" s="203" t="s">
        <v>20</v>
      </c>
      <c r="H152" s="121"/>
      <c r="I152" s="116"/>
      <c r="J152" s="211" t="e">
        <f>D152*G152</f>
        <v>#VALUE!</v>
      </c>
      <c r="K152" s="107"/>
      <c r="L152" s="55"/>
      <c r="M152" s="55"/>
      <c r="N152" s="55"/>
    </row>
    <row r="153" spans="1:14" ht="66.75" customHeight="1" x14ac:dyDescent="0.25">
      <c r="A153" s="248" t="s">
        <v>86</v>
      </c>
      <c r="B153" s="245" t="s">
        <v>356</v>
      </c>
      <c r="C153" s="134" t="s">
        <v>11</v>
      </c>
      <c r="D153" s="165">
        <f>204+204</f>
        <v>408</v>
      </c>
      <c r="E153" s="108"/>
      <c r="F153" s="102"/>
      <c r="G153" s="203" t="s">
        <v>20</v>
      </c>
      <c r="H153" s="121"/>
      <c r="I153" s="116"/>
      <c r="J153" s="211" t="e">
        <f>D153*G153</f>
        <v>#VALUE!</v>
      </c>
      <c r="K153" s="107"/>
      <c r="L153" s="55"/>
      <c r="M153" s="55"/>
      <c r="N153" s="55"/>
    </row>
    <row r="154" spans="1:14" ht="17.25" customHeight="1" thickBot="1" x14ac:dyDescent="0.3">
      <c r="A154" s="135" t="s">
        <v>87</v>
      </c>
      <c r="B154" s="130" t="s">
        <v>357</v>
      </c>
      <c r="C154" s="136" t="s">
        <v>11</v>
      </c>
      <c r="D154" s="266">
        <f>320+305</f>
        <v>625</v>
      </c>
      <c r="E154" s="101" t="s">
        <v>19</v>
      </c>
      <c r="F154" s="102"/>
      <c r="G154" s="103"/>
      <c r="H154" s="162" t="e">
        <f>D154*E154</f>
        <v>#VALUE!</v>
      </c>
      <c r="I154" s="105">
        <f>D154*F154</f>
        <v>0</v>
      </c>
      <c r="J154" s="106"/>
      <c r="K154" s="107" t="s">
        <v>30</v>
      </c>
      <c r="L154" s="55"/>
      <c r="M154" s="55"/>
      <c r="N154" s="55"/>
    </row>
    <row r="155" spans="1:14" ht="38.25" x14ac:dyDescent="0.25">
      <c r="A155" s="248" t="s">
        <v>278</v>
      </c>
      <c r="B155" s="245" t="s">
        <v>397</v>
      </c>
      <c r="C155" s="134" t="s">
        <v>11</v>
      </c>
      <c r="D155" s="165">
        <f>D156</f>
        <v>20</v>
      </c>
      <c r="E155" s="108"/>
      <c r="F155" s="102"/>
      <c r="G155" s="203" t="s">
        <v>20</v>
      </c>
      <c r="H155" s="121"/>
      <c r="I155" s="116"/>
      <c r="J155" s="211" t="e">
        <f>D155*G155</f>
        <v>#VALUE!</v>
      </c>
      <c r="K155" s="107"/>
      <c r="L155" s="55"/>
      <c r="M155" s="55"/>
      <c r="N155" s="55"/>
    </row>
    <row r="156" spans="1:14" ht="17.25" customHeight="1" thickBot="1" x14ac:dyDescent="0.3">
      <c r="A156" s="135" t="s">
        <v>88</v>
      </c>
      <c r="B156" s="130" t="s">
        <v>358</v>
      </c>
      <c r="C156" s="136" t="s">
        <v>11</v>
      </c>
      <c r="D156" s="266">
        <f>10+10</f>
        <v>20</v>
      </c>
      <c r="E156" s="101" t="s">
        <v>19</v>
      </c>
      <c r="F156" s="102"/>
      <c r="G156" s="103"/>
      <c r="H156" s="162" t="e">
        <f>D156*E156</f>
        <v>#VALUE!</v>
      </c>
      <c r="I156" s="105">
        <f>D156*F156</f>
        <v>0</v>
      </c>
      <c r="J156" s="106"/>
      <c r="K156" s="107" t="s">
        <v>30</v>
      </c>
      <c r="L156" s="55"/>
      <c r="M156" s="55"/>
      <c r="N156" s="55"/>
    </row>
    <row r="157" spans="1:14" ht="51" x14ac:dyDescent="0.25">
      <c r="A157" s="248" t="s">
        <v>279</v>
      </c>
      <c r="B157" s="245" t="s">
        <v>352</v>
      </c>
      <c r="C157" s="134" t="s">
        <v>11</v>
      </c>
      <c r="D157" s="165">
        <f>D158</f>
        <v>520</v>
      </c>
      <c r="E157" s="108"/>
      <c r="F157" s="102"/>
      <c r="G157" s="203" t="s">
        <v>20</v>
      </c>
      <c r="H157" s="121"/>
      <c r="I157" s="116"/>
      <c r="J157" s="211" t="e">
        <f>D157*G157</f>
        <v>#VALUE!</v>
      </c>
      <c r="K157" s="107"/>
      <c r="L157" s="55"/>
      <c r="M157" s="55"/>
      <c r="N157" s="55"/>
    </row>
    <row r="158" spans="1:14" ht="15.75" customHeight="1" thickBot="1" x14ac:dyDescent="0.3">
      <c r="A158" s="135" t="s">
        <v>89</v>
      </c>
      <c r="B158" s="130" t="s">
        <v>251</v>
      </c>
      <c r="C158" s="136" t="s">
        <v>11</v>
      </c>
      <c r="D158" s="266">
        <f>240+280</f>
        <v>520</v>
      </c>
      <c r="E158" s="101" t="s">
        <v>19</v>
      </c>
      <c r="F158" s="102"/>
      <c r="G158" s="103"/>
      <c r="H158" s="162" t="e">
        <f>D158*E158</f>
        <v>#VALUE!</v>
      </c>
      <c r="I158" s="105">
        <f>D158*F158</f>
        <v>0</v>
      </c>
      <c r="J158" s="106"/>
      <c r="K158" s="107" t="s">
        <v>30</v>
      </c>
      <c r="L158" s="55"/>
      <c r="M158" s="55"/>
      <c r="N158" s="55"/>
    </row>
    <row r="159" spans="1:14" ht="38.25" customHeight="1" x14ac:dyDescent="0.25">
      <c r="A159" s="248" t="s">
        <v>90</v>
      </c>
      <c r="B159" s="245" t="s">
        <v>359</v>
      </c>
      <c r="C159" s="134" t="s">
        <v>14</v>
      </c>
      <c r="D159" s="165">
        <v>8</v>
      </c>
      <c r="E159" s="108"/>
      <c r="F159" s="149"/>
      <c r="G159" s="203" t="s">
        <v>20</v>
      </c>
      <c r="H159" s="209"/>
      <c r="I159" s="152"/>
      <c r="J159" s="211" t="e">
        <f>D159*G159</f>
        <v>#VALUE!</v>
      </c>
      <c r="K159" s="107"/>
      <c r="L159" s="55"/>
      <c r="M159" s="55"/>
      <c r="N159" s="55"/>
    </row>
    <row r="160" spans="1:14" ht="21.75" customHeight="1" thickBot="1" x14ac:dyDescent="0.3">
      <c r="A160" s="135" t="s">
        <v>91</v>
      </c>
      <c r="B160" s="130" t="s">
        <v>361</v>
      </c>
      <c r="C160" s="136" t="s">
        <v>14</v>
      </c>
      <c r="D160" s="266">
        <v>8</v>
      </c>
      <c r="E160" s="101" t="s">
        <v>19</v>
      </c>
      <c r="F160" s="102"/>
      <c r="G160" s="103"/>
      <c r="H160" s="162" t="e">
        <f>D160*E160</f>
        <v>#VALUE!</v>
      </c>
      <c r="I160" s="105">
        <f>D160*F160</f>
        <v>0</v>
      </c>
      <c r="J160" s="106"/>
      <c r="K160" s="107" t="s">
        <v>30</v>
      </c>
      <c r="L160" s="55"/>
      <c r="M160" s="55"/>
      <c r="N160" s="55"/>
    </row>
    <row r="161" spans="1:14" ht="41.25" customHeight="1" x14ac:dyDescent="0.25">
      <c r="A161" s="248" t="s">
        <v>92</v>
      </c>
      <c r="B161" s="245" t="s">
        <v>360</v>
      </c>
      <c r="C161" s="134" t="s">
        <v>14</v>
      </c>
      <c r="D161" s="165">
        <v>24</v>
      </c>
      <c r="E161" s="108"/>
      <c r="F161" s="149"/>
      <c r="G161" s="203" t="s">
        <v>20</v>
      </c>
      <c r="H161" s="209"/>
      <c r="I161" s="152"/>
      <c r="J161" s="211" t="e">
        <f>D161*G161</f>
        <v>#VALUE!</v>
      </c>
      <c r="K161" s="107"/>
      <c r="L161" s="55"/>
      <c r="M161" s="55"/>
      <c r="N161" s="55"/>
    </row>
    <row r="162" spans="1:14" ht="23.25" customHeight="1" thickBot="1" x14ac:dyDescent="0.3">
      <c r="A162" s="135" t="s">
        <v>406</v>
      </c>
      <c r="B162" s="130" t="s">
        <v>361</v>
      </c>
      <c r="C162" s="136" t="s">
        <v>14</v>
      </c>
      <c r="D162" s="266">
        <v>24</v>
      </c>
      <c r="E162" s="101" t="s">
        <v>19</v>
      </c>
      <c r="F162" s="102"/>
      <c r="G162" s="103"/>
      <c r="H162" s="162" t="e">
        <f>D162*E162</f>
        <v>#VALUE!</v>
      </c>
      <c r="I162" s="105">
        <f>D162*F162</f>
        <v>0</v>
      </c>
      <c r="J162" s="106"/>
      <c r="K162" s="107" t="s">
        <v>30</v>
      </c>
      <c r="L162" s="55"/>
      <c r="M162" s="55"/>
      <c r="N162" s="55"/>
    </row>
    <row r="163" spans="1:14" ht="23.25" customHeight="1" x14ac:dyDescent="0.25">
      <c r="A163" s="248" t="s">
        <v>286</v>
      </c>
      <c r="B163" s="137" t="s">
        <v>362</v>
      </c>
      <c r="C163" s="134" t="s">
        <v>11</v>
      </c>
      <c r="D163" s="165">
        <v>800</v>
      </c>
      <c r="E163" s="108"/>
      <c r="F163" s="149"/>
      <c r="G163" s="203" t="s">
        <v>20</v>
      </c>
      <c r="H163" s="121"/>
      <c r="I163" s="152"/>
      <c r="J163" s="211" t="e">
        <f>D163*G163</f>
        <v>#VALUE!</v>
      </c>
      <c r="K163" s="107"/>
      <c r="L163" s="55"/>
      <c r="M163" s="55"/>
      <c r="N163" s="55"/>
    </row>
    <row r="164" spans="1:14" s="128" customFormat="1" ht="18.75" customHeight="1" thickBot="1" x14ac:dyDescent="0.3">
      <c r="A164" s="135" t="s">
        <v>407</v>
      </c>
      <c r="B164" s="267" t="s">
        <v>363</v>
      </c>
      <c r="C164" s="268" t="s">
        <v>54</v>
      </c>
      <c r="D164" s="268">
        <v>1.008</v>
      </c>
      <c r="E164" s="210" t="s">
        <v>19</v>
      </c>
      <c r="F164" s="204"/>
      <c r="G164" s="205"/>
      <c r="H164" s="206" t="e">
        <f>D164*E164</f>
        <v>#VALUE!</v>
      </c>
      <c r="I164" s="105">
        <f>D164*F164</f>
        <v>0</v>
      </c>
      <c r="J164" s="207"/>
      <c r="K164" s="24" t="s">
        <v>30</v>
      </c>
      <c r="L164" s="232"/>
      <c r="M164" s="208"/>
      <c r="N164" s="208"/>
    </row>
    <row r="165" spans="1:14" s="128" customFormat="1" ht="18.75" customHeight="1" thickBot="1" x14ac:dyDescent="0.3">
      <c r="A165" s="226"/>
      <c r="B165" s="227" t="s">
        <v>533</v>
      </c>
      <c r="C165" s="228"/>
      <c r="D165" s="228"/>
      <c r="E165" s="229"/>
      <c r="F165" s="230"/>
      <c r="G165" s="231"/>
      <c r="H165" s="219" t="e">
        <f>H151+H154+H156+H158+H160+H162+H164</f>
        <v>#VALUE!</v>
      </c>
      <c r="I165" s="219">
        <f>I151+I154+I156+I158+I160+I162+I164</f>
        <v>0</v>
      </c>
      <c r="J165" s="219" t="e">
        <f>J150+J152+J153+J155+J157+J159+J161+J163</f>
        <v>#VALUE!</v>
      </c>
      <c r="K165" s="190"/>
      <c r="L165" s="213"/>
      <c r="M165" s="213"/>
      <c r="N165" s="213"/>
    </row>
    <row r="166" spans="1:14" ht="21.75" customHeight="1" thickBot="1" x14ac:dyDescent="0.3">
      <c r="A166" s="163"/>
      <c r="B166" s="305" t="s">
        <v>250</v>
      </c>
      <c r="C166" s="306"/>
      <c r="D166" s="306"/>
      <c r="E166" s="306"/>
      <c r="F166" s="306"/>
      <c r="G166" s="306"/>
      <c r="H166" s="306"/>
      <c r="I166" s="307"/>
      <c r="J166" s="46"/>
      <c r="K166" s="146"/>
      <c r="L166" s="66"/>
      <c r="M166" s="66"/>
      <c r="N166" s="66"/>
    </row>
    <row r="167" spans="1:14" ht="38.25" x14ac:dyDescent="0.25">
      <c r="A167" s="269" t="s">
        <v>408</v>
      </c>
      <c r="B167" s="270" t="s">
        <v>536</v>
      </c>
      <c r="C167" s="271" t="s">
        <v>11</v>
      </c>
      <c r="D167" s="272">
        <f>D168+D169</f>
        <v>56750</v>
      </c>
      <c r="E167" s="100"/>
      <c r="F167" s="35"/>
      <c r="G167" s="99" t="s">
        <v>20</v>
      </c>
      <c r="H167" s="117"/>
      <c r="I167" s="112"/>
      <c r="J167" s="151" t="e">
        <f>D167*G167</f>
        <v>#VALUE!</v>
      </c>
      <c r="K167" s="24"/>
      <c r="L167" s="54"/>
      <c r="M167" s="54"/>
      <c r="N167" s="54"/>
    </row>
    <row r="168" spans="1:14" ht="19.5" customHeight="1" x14ac:dyDescent="0.25">
      <c r="A168" s="129" t="s">
        <v>414</v>
      </c>
      <c r="B168" s="257" t="s">
        <v>398</v>
      </c>
      <c r="C168" s="131" t="s">
        <v>11</v>
      </c>
      <c r="D168" s="252">
        <v>51450</v>
      </c>
      <c r="E168" s="34" t="s">
        <v>19</v>
      </c>
      <c r="F168" s="35"/>
      <c r="G168" s="36"/>
      <c r="H168" s="73" t="e">
        <f>D168*E168</f>
        <v>#VALUE!</v>
      </c>
      <c r="I168" s="38">
        <f>D168*F168</f>
        <v>0</v>
      </c>
      <c r="J168" s="51"/>
      <c r="K168" s="24" t="s">
        <v>30</v>
      </c>
      <c r="L168" s="54"/>
      <c r="M168" s="54"/>
      <c r="N168" s="54"/>
    </row>
    <row r="169" spans="1:14" ht="19.5" customHeight="1" x14ac:dyDescent="0.25">
      <c r="A169" s="129" t="s">
        <v>461</v>
      </c>
      <c r="B169" s="257" t="s">
        <v>399</v>
      </c>
      <c r="C169" s="131" t="s">
        <v>11</v>
      </c>
      <c r="D169" s="252">
        <v>5300</v>
      </c>
      <c r="E169" s="34" t="s">
        <v>19</v>
      </c>
      <c r="F169" s="35"/>
      <c r="G169" s="36"/>
      <c r="H169" s="73" t="e">
        <f t="shared" ref="H169:H172" si="32">D169*E169</f>
        <v>#VALUE!</v>
      </c>
      <c r="I169" s="38">
        <f t="shared" ref="I169:I172" si="33">D169*F169</f>
        <v>0</v>
      </c>
      <c r="J169" s="51"/>
      <c r="K169" s="24" t="s">
        <v>30</v>
      </c>
      <c r="L169" s="54"/>
      <c r="M169" s="54"/>
      <c r="N169" s="54"/>
    </row>
    <row r="170" spans="1:14" ht="19.5" customHeight="1" x14ac:dyDescent="0.25">
      <c r="A170" s="129" t="s">
        <v>462</v>
      </c>
      <c r="B170" s="273" t="s">
        <v>403</v>
      </c>
      <c r="C170" s="131" t="s">
        <v>14</v>
      </c>
      <c r="D170" s="252">
        <v>644</v>
      </c>
      <c r="E170" s="34" t="s">
        <v>19</v>
      </c>
      <c r="F170" s="35"/>
      <c r="G170" s="36"/>
      <c r="H170" s="73" t="e">
        <f t="shared" si="32"/>
        <v>#VALUE!</v>
      </c>
      <c r="I170" s="38">
        <f t="shared" si="33"/>
        <v>0</v>
      </c>
      <c r="J170" s="51"/>
      <c r="K170" s="24" t="s">
        <v>30</v>
      </c>
      <c r="L170" s="54"/>
      <c r="M170" s="54"/>
      <c r="N170" s="54"/>
    </row>
    <row r="171" spans="1:14" ht="19.5" customHeight="1" x14ac:dyDescent="0.25">
      <c r="A171" s="129" t="s">
        <v>463</v>
      </c>
      <c r="B171" s="273" t="s">
        <v>400</v>
      </c>
      <c r="C171" s="131" t="s">
        <v>14</v>
      </c>
      <c r="D171" s="252">
        <v>7294</v>
      </c>
      <c r="E171" s="34" t="s">
        <v>19</v>
      </c>
      <c r="F171" s="35"/>
      <c r="G171" s="36"/>
      <c r="H171" s="73" t="e">
        <f t="shared" si="32"/>
        <v>#VALUE!</v>
      </c>
      <c r="I171" s="38">
        <f t="shared" si="33"/>
        <v>0</v>
      </c>
      <c r="J171" s="51"/>
      <c r="K171" s="24" t="s">
        <v>30</v>
      </c>
      <c r="L171" s="54"/>
      <c r="M171" s="54"/>
      <c r="N171" s="54"/>
    </row>
    <row r="172" spans="1:14" ht="19.5" customHeight="1" x14ac:dyDescent="0.25">
      <c r="A172" s="129" t="s">
        <v>464</v>
      </c>
      <c r="B172" s="273" t="s">
        <v>401</v>
      </c>
      <c r="C172" s="131" t="s">
        <v>14</v>
      </c>
      <c r="D172" s="252">
        <v>1910</v>
      </c>
      <c r="E172" s="34" t="s">
        <v>19</v>
      </c>
      <c r="F172" s="35"/>
      <c r="G172" s="36"/>
      <c r="H172" s="73" t="e">
        <f t="shared" si="32"/>
        <v>#VALUE!</v>
      </c>
      <c r="I172" s="38">
        <f t="shared" si="33"/>
        <v>0</v>
      </c>
      <c r="J172" s="51"/>
      <c r="K172" s="24" t="s">
        <v>30</v>
      </c>
      <c r="L172" s="54"/>
      <c r="M172" s="54"/>
      <c r="N172" s="54"/>
    </row>
    <row r="173" spans="1:14" ht="63.75" x14ac:dyDescent="0.25">
      <c r="A173" s="244" t="s">
        <v>409</v>
      </c>
      <c r="B173" s="270" t="s">
        <v>197</v>
      </c>
      <c r="C173" s="271" t="s">
        <v>11</v>
      </c>
      <c r="D173" s="272">
        <f>D174/1.03</f>
        <v>13152.42718446602</v>
      </c>
      <c r="E173" s="100"/>
      <c r="F173" s="35"/>
      <c r="G173" s="99" t="s">
        <v>20</v>
      </c>
      <c r="H173" s="117"/>
      <c r="I173" s="112"/>
      <c r="J173" s="151" t="e">
        <f>D173*G173</f>
        <v>#VALUE!</v>
      </c>
      <c r="K173" s="24"/>
      <c r="L173" s="54"/>
      <c r="M173" s="54"/>
      <c r="N173" s="54"/>
    </row>
    <row r="174" spans="1:14" ht="19.5" customHeight="1" x14ac:dyDescent="0.25">
      <c r="A174" s="129" t="s">
        <v>415</v>
      </c>
      <c r="B174" s="257" t="s">
        <v>251</v>
      </c>
      <c r="C174" s="131" t="s">
        <v>11</v>
      </c>
      <c r="D174" s="252">
        <f>5780+7767</f>
        <v>13547</v>
      </c>
      <c r="E174" s="34" t="s">
        <v>19</v>
      </c>
      <c r="F174" s="35"/>
      <c r="G174" s="36"/>
      <c r="H174" s="73" t="e">
        <f>D174*E174</f>
        <v>#VALUE!</v>
      </c>
      <c r="I174" s="38">
        <f>D174*F174</f>
        <v>0</v>
      </c>
      <c r="J174" s="51"/>
      <c r="K174" s="24" t="s">
        <v>30</v>
      </c>
      <c r="L174" s="54"/>
      <c r="M174" s="54"/>
      <c r="N174" s="54"/>
    </row>
    <row r="175" spans="1:14" ht="65.25" customHeight="1" x14ac:dyDescent="0.25">
      <c r="A175" s="133">
        <v>42</v>
      </c>
      <c r="B175" s="245" t="s">
        <v>252</v>
      </c>
      <c r="C175" s="274" t="s">
        <v>11</v>
      </c>
      <c r="D175" s="256">
        <f>D176/1.03+D177/1.03+D178/1.03</f>
        <v>204070.87378640776</v>
      </c>
      <c r="E175" s="39"/>
      <c r="F175" s="35"/>
      <c r="G175" s="40" t="s">
        <v>20</v>
      </c>
      <c r="H175" s="74"/>
      <c r="I175" s="35"/>
      <c r="J175" s="151" t="e">
        <f t="shared" ref="J175" si="34">D175*G175</f>
        <v>#VALUE!</v>
      </c>
      <c r="K175" s="54"/>
      <c r="L175" s="54"/>
      <c r="M175" s="54"/>
      <c r="N175" s="54"/>
    </row>
    <row r="176" spans="1:14" x14ac:dyDescent="0.25">
      <c r="A176" s="129" t="s">
        <v>416</v>
      </c>
      <c r="B176" s="130" t="s">
        <v>251</v>
      </c>
      <c r="C176" s="131" t="s">
        <v>11</v>
      </c>
      <c r="D176" s="252">
        <f>11561+15533</f>
        <v>27094</v>
      </c>
      <c r="E176" s="34" t="s">
        <v>19</v>
      </c>
      <c r="F176" s="35"/>
      <c r="G176" s="36"/>
      <c r="H176" s="73" t="e">
        <f t="shared" si="19"/>
        <v>#VALUE!</v>
      </c>
      <c r="I176" s="38">
        <f t="shared" ref="I176:I178" si="35">D176*F176</f>
        <v>0</v>
      </c>
      <c r="J176" s="51"/>
      <c r="K176" s="24" t="s">
        <v>30</v>
      </c>
      <c r="L176" s="54"/>
      <c r="M176" s="54"/>
      <c r="N176" s="54"/>
    </row>
    <row r="177" spans="1:14" x14ac:dyDescent="0.25">
      <c r="A177" s="129" t="s">
        <v>417</v>
      </c>
      <c r="B177" s="130" t="s">
        <v>254</v>
      </c>
      <c r="C177" s="131" t="s">
        <v>11</v>
      </c>
      <c r="D177" s="252">
        <f>37667+36633</f>
        <v>74300</v>
      </c>
      <c r="E177" s="34" t="s">
        <v>19</v>
      </c>
      <c r="F177" s="35"/>
      <c r="G177" s="36"/>
      <c r="H177" s="73" t="e">
        <f t="shared" si="19"/>
        <v>#VALUE!</v>
      </c>
      <c r="I177" s="38">
        <f t="shared" si="35"/>
        <v>0</v>
      </c>
      <c r="J177" s="51"/>
      <c r="K177" s="24"/>
      <c r="L177" s="54"/>
      <c r="M177" s="54"/>
      <c r="N177" s="54"/>
    </row>
    <row r="178" spans="1:14" x14ac:dyDescent="0.25">
      <c r="A178" s="129" t="s">
        <v>465</v>
      </c>
      <c r="B178" s="130" t="s">
        <v>255</v>
      </c>
      <c r="C178" s="131" t="s">
        <v>11</v>
      </c>
      <c r="D178" s="252">
        <f>57266+51533</f>
        <v>108799</v>
      </c>
      <c r="E178" s="34" t="s">
        <v>19</v>
      </c>
      <c r="F178" s="35"/>
      <c r="G178" s="36"/>
      <c r="H178" s="73" t="e">
        <f>D178*E178</f>
        <v>#VALUE!</v>
      </c>
      <c r="I178" s="38">
        <f t="shared" si="35"/>
        <v>0</v>
      </c>
      <c r="J178" s="51"/>
      <c r="K178" s="24"/>
      <c r="L178" s="54"/>
      <c r="M178" s="54"/>
      <c r="N178" s="54"/>
    </row>
    <row r="179" spans="1:14" ht="68.25" customHeight="1" x14ac:dyDescent="0.25">
      <c r="A179" s="244" t="s">
        <v>93</v>
      </c>
      <c r="B179" s="245" t="s">
        <v>253</v>
      </c>
      <c r="C179" s="133" t="s">
        <v>11</v>
      </c>
      <c r="D179" s="256">
        <f>D180/1.03+D181/1.03</f>
        <v>88884.466019417479</v>
      </c>
      <c r="E179" s="100"/>
      <c r="F179" s="35"/>
      <c r="G179" s="99" t="s">
        <v>20</v>
      </c>
      <c r="H179" s="117"/>
      <c r="I179" s="112"/>
      <c r="J179" s="151" t="e">
        <f>D179*G179</f>
        <v>#VALUE!</v>
      </c>
      <c r="K179" s="24"/>
      <c r="L179" s="54"/>
      <c r="M179" s="54"/>
      <c r="N179" s="54"/>
    </row>
    <row r="180" spans="1:14" x14ac:dyDescent="0.25">
      <c r="A180" s="129" t="s">
        <v>410</v>
      </c>
      <c r="B180" s="130" t="s">
        <v>254</v>
      </c>
      <c r="C180" s="131" t="s">
        <v>11</v>
      </c>
      <c r="D180" s="252">
        <f>18834+18317</f>
        <v>37151</v>
      </c>
      <c r="E180" s="34" t="s">
        <v>19</v>
      </c>
      <c r="F180" s="35"/>
      <c r="G180" s="36"/>
      <c r="H180" s="73" t="e">
        <f t="shared" si="19"/>
        <v>#VALUE!</v>
      </c>
      <c r="I180" s="38">
        <f>D180*F180</f>
        <v>0</v>
      </c>
      <c r="J180" s="51"/>
      <c r="K180" s="24" t="s">
        <v>30</v>
      </c>
      <c r="L180" s="54"/>
      <c r="M180" s="54"/>
      <c r="N180" s="54"/>
    </row>
    <row r="181" spans="1:14" x14ac:dyDescent="0.25">
      <c r="A181" s="129" t="s">
        <v>466</v>
      </c>
      <c r="B181" s="130" t="s">
        <v>255</v>
      </c>
      <c r="C181" s="131" t="s">
        <v>11</v>
      </c>
      <c r="D181" s="252">
        <f>28633+25767</f>
        <v>54400</v>
      </c>
      <c r="E181" s="34" t="s">
        <v>19</v>
      </c>
      <c r="F181" s="35"/>
      <c r="G181" s="36"/>
      <c r="H181" s="73" t="e">
        <f t="shared" si="19"/>
        <v>#VALUE!</v>
      </c>
      <c r="I181" s="38">
        <f>D181*F181</f>
        <v>0</v>
      </c>
      <c r="J181" s="51"/>
      <c r="K181" s="24" t="s">
        <v>30</v>
      </c>
      <c r="L181" s="54"/>
      <c r="M181" s="54"/>
      <c r="N181" s="54"/>
    </row>
    <row r="182" spans="1:14" ht="63.75" customHeight="1" x14ac:dyDescent="0.25">
      <c r="A182" s="244" t="s">
        <v>94</v>
      </c>
      <c r="B182" s="245" t="s">
        <v>200</v>
      </c>
      <c r="C182" s="133" t="s">
        <v>11</v>
      </c>
      <c r="D182" s="256">
        <f>D183/1.03</f>
        <v>11948.543689320388</v>
      </c>
      <c r="E182" s="100"/>
      <c r="F182" s="35"/>
      <c r="G182" s="99" t="s">
        <v>20</v>
      </c>
      <c r="H182" s="117"/>
      <c r="I182" s="112"/>
      <c r="J182" s="51"/>
      <c r="K182" s="24"/>
      <c r="L182" s="54"/>
      <c r="M182" s="54"/>
      <c r="N182" s="54"/>
    </row>
    <row r="183" spans="1:14" x14ac:dyDescent="0.25">
      <c r="A183" s="129" t="s">
        <v>411</v>
      </c>
      <c r="B183" s="130" t="s">
        <v>256</v>
      </c>
      <c r="C183" s="131" t="s">
        <v>11</v>
      </c>
      <c r="D183" s="252">
        <f>7107+5200</f>
        <v>12307</v>
      </c>
      <c r="E183" s="34" t="s">
        <v>19</v>
      </c>
      <c r="F183" s="35"/>
      <c r="G183" s="36"/>
      <c r="H183" s="73" t="e">
        <f>D183*E183</f>
        <v>#VALUE!</v>
      </c>
      <c r="I183" s="38">
        <f>D183*F183</f>
        <v>0</v>
      </c>
      <c r="J183" s="51"/>
      <c r="K183" s="24" t="s">
        <v>30</v>
      </c>
      <c r="L183" s="54"/>
      <c r="M183" s="54"/>
      <c r="N183" s="54"/>
    </row>
    <row r="184" spans="1:14" ht="64.5" customHeight="1" x14ac:dyDescent="0.25">
      <c r="A184" s="133">
        <v>45</v>
      </c>
      <c r="B184" s="245" t="s">
        <v>257</v>
      </c>
      <c r="C184" s="133" t="s">
        <v>11</v>
      </c>
      <c r="D184" s="256">
        <f>D185/1.03</f>
        <v>23897.087378640776</v>
      </c>
      <c r="E184" s="39"/>
      <c r="F184" s="35"/>
      <c r="G184" s="40" t="s">
        <v>20</v>
      </c>
      <c r="H184" s="74"/>
      <c r="I184" s="35"/>
      <c r="J184" s="151" t="e">
        <f t="shared" ref="J184" si="36">D184*G184</f>
        <v>#VALUE!</v>
      </c>
      <c r="K184" s="54"/>
      <c r="L184" s="54"/>
      <c r="M184" s="54"/>
      <c r="N184" s="54"/>
    </row>
    <row r="185" spans="1:14" x14ac:dyDescent="0.25">
      <c r="A185" s="129" t="s">
        <v>412</v>
      </c>
      <c r="B185" s="130" t="s">
        <v>256</v>
      </c>
      <c r="C185" s="131" t="s">
        <v>11</v>
      </c>
      <c r="D185" s="252">
        <f>14214+10400</f>
        <v>24614</v>
      </c>
      <c r="E185" s="34" t="s">
        <v>19</v>
      </c>
      <c r="F185" s="35"/>
      <c r="G185" s="36"/>
      <c r="H185" s="73" t="e">
        <f t="shared" si="19"/>
        <v>#VALUE!</v>
      </c>
      <c r="I185" s="38">
        <f t="shared" ref="I185" si="37">D185*F185</f>
        <v>0</v>
      </c>
      <c r="J185" s="51"/>
      <c r="K185" s="24" t="s">
        <v>30</v>
      </c>
      <c r="L185" s="54"/>
      <c r="M185" s="54"/>
      <c r="N185" s="54"/>
    </row>
    <row r="186" spans="1:14" ht="51.75" customHeight="1" x14ac:dyDescent="0.25">
      <c r="A186" s="244" t="s">
        <v>95</v>
      </c>
      <c r="B186" s="245" t="s">
        <v>535</v>
      </c>
      <c r="C186" s="133" t="s">
        <v>11</v>
      </c>
      <c r="D186" s="256">
        <v>12558</v>
      </c>
      <c r="E186" s="100"/>
      <c r="F186" s="35"/>
      <c r="G186" s="40" t="s">
        <v>20</v>
      </c>
      <c r="H186" s="150"/>
      <c r="I186" s="114"/>
      <c r="J186" s="151" t="e">
        <f>D186*G186</f>
        <v>#VALUE!</v>
      </c>
      <c r="K186" s="24"/>
      <c r="L186" s="54"/>
      <c r="M186" s="54"/>
      <c r="N186" s="54"/>
    </row>
    <row r="187" spans="1:14" ht="18" customHeight="1" x14ac:dyDescent="0.25">
      <c r="A187" s="129" t="s">
        <v>413</v>
      </c>
      <c r="B187" s="130" t="s">
        <v>254</v>
      </c>
      <c r="C187" s="131" t="s">
        <v>11</v>
      </c>
      <c r="D187" s="275">
        <v>17664</v>
      </c>
      <c r="E187" s="34" t="s">
        <v>19</v>
      </c>
      <c r="F187" s="35"/>
      <c r="G187" s="98"/>
      <c r="H187" s="73" t="e">
        <f>D187*E187</f>
        <v>#VALUE!</v>
      </c>
      <c r="I187" s="38">
        <f>D187*F187</f>
        <v>0</v>
      </c>
      <c r="J187" s="113"/>
      <c r="K187" s="24" t="s">
        <v>30</v>
      </c>
      <c r="L187" s="54"/>
      <c r="M187" s="54"/>
      <c r="N187" s="54"/>
    </row>
    <row r="188" spans="1:14" ht="19.5" customHeight="1" x14ac:dyDescent="0.25">
      <c r="A188" s="129" t="s">
        <v>467</v>
      </c>
      <c r="B188" s="130" t="s">
        <v>255</v>
      </c>
      <c r="C188" s="131" t="s">
        <v>11</v>
      </c>
      <c r="D188" s="275">
        <v>20010</v>
      </c>
      <c r="E188" s="34" t="s">
        <v>19</v>
      </c>
      <c r="F188" s="35"/>
      <c r="G188" s="98"/>
      <c r="H188" s="73" t="e">
        <f t="shared" ref="H188:H189" si="38">D188*E188</f>
        <v>#VALUE!</v>
      </c>
      <c r="I188" s="38">
        <f t="shared" ref="I188:I189" si="39">D188*F188</f>
        <v>0</v>
      </c>
      <c r="J188" s="113"/>
      <c r="K188" s="24" t="s">
        <v>30</v>
      </c>
      <c r="L188" s="54"/>
      <c r="M188" s="54"/>
      <c r="N188" s="54"/>
    </row>
    <row r="189" spans="1:14" ht="21" customHeight="1" x14ac:dyDescent="0.25">
      <c r="A189" s="129" t="s">
        <v>537</v>
      </c>
      <c r="B189" s="130" t="s">
        <v>260</v>
      </c>
      <c r="C189" s="131" t="s">
        <v>11</v>
      </c>
      <c r="D189" s="275">
        <v>12558</v>
      </c>
      <c r="E189" s="34" t="s">
        <v>19</v>
      </c>
      <c r="F189" s="35"/>
      <c r="G189" s="98"/>
      <c r="H189" s="73" t="e">
        <f t="shared" si="38"/>
        <v>#VALUE!</v>
      </c>
      <c r="I189" s="38">
        <f t="shared" si="39"/>
        <v>0</v>
      </c>
      <c r="J189" s="113"/>
      <c r="K189" s="24" t="s">
        <v>30</v>
      </c>
      <c r="L189" s="54"/>
      <c r="M189" s="54"/>
      <c r="N189" s="54"/>
    </row>
    <row r="190" spans="1:14" ht="18" customHeight="1" x14ac:dyDescent="0.25">
      <c r="A190" s="129" t="s">
        <v>538</v>
      </c>
      <c r="B190" s="130" t="s">
        <v>261</v>
      </c>
      <c r="C190" s="131" t="s">
        <v>11</v>
      </c>
      <c r="D190" s="275">
        <v>4094</v>
      </c>
      <c r="E190" s="34" t="s">
        <v>19</v>
      </c>
      <c r="F190" s="35"/>
      <c r="G190" s="36"/>
      <c r="H190" s="73" t="e">
        <f>D190*E190</f>
        <v>#VALUE!</v>
      </c>
      <c r="I190" s="38">
        <f>D190*F190</f>
        <v>0</v>
      </c>
      <c r="J190" s="51"/>
      <c r="K190" s="24" t="s">
        <v>30</v>
      </c>
      <c r="L190" s="54"/>
      <c r="M190" s="54"/>
      <c r="N190" s="54"/>
    </row>
    <row r="191" spans="1:14" ht="25.5" x14ac:dyDescent="0.25">
      <c r="A191" s="244" t="s">
        <v>96</v>
      </c>
      <c r="B191" s="245" t="s">
        <v>339</v>
      </c>
      <c r="C191" s="133" t="s">
        <v>14</v>
      </c>
      <c r="D191" s="253">
        <f>D192</f>
        <v>4416</v>
      </c>
      <c r="E191" s="100"/>
      <c r="F191" s="35"/>
      <c r="G191" s="99" t="s">
        <v>20</v>
      </c>
      <c r="H191" s="117"/>
      <c r="I191" s="112"/>
      <c r="J191" s="151" t="e">
        <f>D191*G191</f>
        <v>#VALUE!</v>
      </c>
      <c r="K191" s="24"/>
      <c r="L191" s="54"/>
      <c r="M191" s="54"/>
      <c r="N191" s="54"/>
    </row>
    <row r="192" spans="1:14" x14ac:dyDescent="0.25">
      <c r="A192" s="129" t="s">
        <v>468</v>
      </c>
      <c r="B192" s="130" t="s">
        <v>341</v>
      </c>
      <c r="C192" s="131" t="s">
        <v>14</v>
      </c>
      <c r="D192" s="252">
        <f>2300+2116</f>
        <v>4416</v>
      </c>
      <c r="E192" s="34" t="s">
        <v>19</v>
      </c>
      <c r="F192" s="35"/>
      <c r="G192" s="98"/>
      <c r="H192" s="73" t="e">
        <f>D192*E192</f>
        <v>#VALUE!</v>
      </c>
      <c r="I192" s="38">
        <f>D192*F192</f>
        <v>0</v>
      </c>
      <c r="J192" s="155"/>
      <c r="K192" s="24" t="s">
        <v>30</v>
      </c>
      <c r="L192" s="54"/>
      <c r="M192" s="54"/>
      <c r="N192" s="54"/>
    </row>
    <row r="193" spans="1:14" x14ac:dyDescent="0.25">
      <c r="A193" s="129" t="s">
        <v>469</v>
      </c>
      <c r="B193" s="130" t="s">
        <v>340</v>
      </c>
      <c r="C193" s="131" t="s">
        <v>14</v>
      </c>
      <c r="D193" s="252">
        <f>1012+828</f>
        <v>1840</v>
      </c>
      <c r="E193" s="34" t="s">
        <v>19</v>
      </c>
      <c r="F193" s="35"/>
      <c r="G193" s="98"/>
      <c r="H193" s="73" t="e">
        <f>D193*E193</f>
        <v>#VALUE!</v>
      </c>
      <c r="I193" s="38">
        <f>D193*F193</f>
        <v>0</v>
      </c>
      <c r="J193" s="155"/>
      <c r="K193" s="24" t="s">
        <v>30</v>
      </c>
      <c r="L193" s="54"/>
      <c r="M193" s="54"/>
      <c r="N193" s="54"/>
    </row>
    <row r="194" spans="1:14" ht="25.5" customHeight="1" x14ac:dyDescent="0.25">
      <c r="A194" s="244" t="s">
        <v>97</v>
      </c>
      <c r="B194" s="245" t="s">
        <v>353</v>
      </c>
      <c r="C194" s="133" t="s">
        <v>11</v>
      </c>
      <c r="D194" s="253">
        <f>D195</f>
        <v>9452</v>
      </c>
      <c r="E194" s="100"/>
      <c r="F194" s="35"/>
      <c r="G194" s="99" t="s">
        <v>20</v>
      </c>
      <c r="H194" s="117"/>
      <c r="I194" s="112"/>
      <c r="J194" s="151" t="e">
        <f>D194*G194</f>
        <v>#VALUE!</v>
      </c>
      <c r="K194" s="24"/>
      <c r="L194" s="54"/>
      <c r="M194" s="54"/>
      <c r="N194" s="54"/>
    </row>
    <row r="195" spans="1:14" x14ac:dyDescent="0.25">
      <c r="A195" s="129" t="s">
        <v>420</v>
      </c>
      <c r="B195" s="130" t="s">
        <v>258</v>
      </c>
      <c r="C195" s="131" t="s">
        <v>11</v>
      </c>
      <c r="D195" s="252">
        <f>5152+4300</f>
        <v>9452</v>
      </c>
      <c r="E195" s="34" t="s">
        <v>19</v>
      </c>
      <c r="F195" s="35"/>
      <c r="G195" s="98"/>
      <c r="H195" s="73" t="e">
        <f>D195*E195</f>
        <v>#VALUE!</v>
      </c>
      <c r="I195" s="38">
        <f>D195*F195</f>
        <v>0</v>
      </c>
      <c r="J195" s="155"/>
      <c r="K195" s="24" t="s">
        <v>30</v>
      </c>
      <c r="L195" s="54"/>
      <c r="M195" s="54"/>
      <c r="N195" s="54"/>
    </row>
    <row r="196" spans="1:14" ht="25.5" x14ac:dyDescent="0.25">
      <c r="A196" s="135" t="s">
        <v>470</v>
      </c>
      <c r="B196" s="130" t="s">
        <v>259</v>
      </c>
      <c r="C196" s="131" t="s">
        <v>14</v>
      </c>
      <c r="D196" s="275">
        <f>736+644</f>
        <v>1380</v>
      </c>
      <c r="E196" s="34" t="s">
        <v>19</v>
      </c>
      <c r="F196" s="102"/>
      <c r="G196" s="110"/>
      <c r="H196" s="73" t="e">
        <f t="shared" ref="H196:H200" si="40">D196*E196</f>
        <v>#VALUE!</v>
      </c>
      <c r="I196" s="38">
        <f t="shared" ref="I196:I200" si="41">D196*F196</f>
        <v>0</v>
      </c>
      <c r="J196" s="235"/>
      <c r="K196" s="24" t="s">
        <v>30</v>
      </c>
      <c r="L196" s="55"/>
      <c r="M196" s="55"/>
      <c r="N196" s="55"/>
    </row>
    <row r="197" spans="1:14" x14ac:dyDescent="0.25">
      <c r="A197" s="135" t="s">
        <v>539</v>
      </c>
      <c r="B197" s="132" t="s">
        <v>534</v>
      </c>
      <c r="C197" s="136" t="s">
        <v>11</v>
      </c>
      <c r="D197" s="266">
        <v>9452</v>
      </c>
      <c r="E197" s="34" t="s">
        <v>19</v>
      </c>
      <c r="F197" s="102"/>
      <c r="G197" s="110"/>
      <c r="H197" s="73" t="e">
        <f t="shared" si="40"/>
        <v>#VALUE!</v>
      </c>
      <c r="I197" s="38">
        <f t="shared" si="41"/>
        <v>0</v>
      </c>
      <c r="J197" s="235"/>
      <c r="K197" s="24" t="s">
        <v>30</v>
      </c>
      <c r="L197" s="55"/>
      <c r="M197" s="55"/>
      <c r="N197" s="55"/>
    </row>
    <row r="198" spans="1:14" x14ac:dyDescent="0.25">
      <c r="A198" s="248" t="s">
        <v>561</v>
      </c>
      <c r="B198" s="137" t="s">
        <v>562</v>
      </c>
      <c r="C198" s="134" t="s">
        <v>14</v>
      </c>
      <c r="D198" s="165">
        <v>1380</v>
      </c>
      <c r="E198" s="108"/>
      <c r="F198" s="149"/>
      <c r="G198" s="124" t="s">
        <v>20</v>
      </c>
      <c r="H198" s="117"/>
      <c r="I198" s="112"/>
      <c r="J198" s="151" t="e">
        <f>D198*G198</f>
        <v>#VALUE!</v>
      </c>
      <c r="K198" s="236"/>
      <c r="L198" s="237"/>
      <c r="M198" s="237"/>
      <c r="N198" s="237"/>
    </row>
    <row r="199" spans="1:14" x14ac:dyDescent="0.25">
      <c r="A199" s="135" t="s">
        <v>563</v>
      </c>
      <c r="B199" s="132" t="s">
        <v>565</v>
      </c>
      <c r="C199" s="136" t="s">
        <v>14</v>
      </c>
      <c r="D199" s="266">
        <v>1380</v>
      </c>
      <c r="E199" s="101" t="s">
        <v>19</v>
      </c>
      <c r="F199" s="102"/>
      <c r="G199" s="110"/>
      <c r="H199" s="73" t="e">
        <f t="shared" si="40"/>
        <v>#VALUE!</v>
      </c>
      <c r="I199" s="38">
        <f t="shared" si="41"/>
        <v>0</v>
      </c>
      <c r="J199" s="235"/>
      <c r="K199" s="107" t="s">
        <v>30</v>
      </c>
      <c r="L199" s="55"/>
      <c r="M199" s="55"/>
      <c r="N199" s="55"/>
    </row>
    <row r="200" spans="1:14" x14ac:dyDescent="0.25">
      <c r="A200" s="135" t="s">
        <v>564</v>
      </c>
      <c r="B200" s="132" t="s">
        <v>566</v>
      </c>
      <c r="C200" s="136" t="s">
        <v>14</v>
      </c>
      <c r="D200" s="266">
        <v>1380</v>
      </c>
      <c r="E200" s="101" t="s">
        <v>19</v>
      </c>
      <c r="F200" s="102"/>
      <c r="G200" s="110"/>
      <c r="H200" s="73" t="e">
        <f t="shared" si="40"/>
        <v>#VALUE!</v>
      </c>
      <c r="I200" s="38">
        <f t="shared" si="41"/>
        <v>0</v>
      </c>
      <c r="J200" s="235"/>
      <c r="K200" s="107" t="s">
        <v>30</v>
      </c>
      <c r="L200" s="55"/>
      <c r="M200" s="55"/>
      <c r="N200" s="55"/>
    </row>
    <row r="201" spans="1:14" ht="15.75" thickBot="1" x14ac:dyDescent="0.3">
      <c r="A201" s="164"/>
      <c r="B201" s="233" t="s">
        <v>439</v>
      </c>
      <c r="C201" s="134"/>
      <c r="D201" s="165"/>
      <c r="E201" s="108"/>
      <c r="F201" s="102"/>
      <c r="G201" s="110"/>
      <c r="H201" s="234" t="e">
        <f>SUM(H168:H200)</f>
        <v>#VALUE!</v>
      </c>
      <c r="I201" s="234">
        <f>SUM(I168:I200)</f>
        <v>0</v>
      </c>
      <c r="J201" s="234" t="e">
        <f>SUM(J167:J198)</f>
        <v>#VALUE!</v>
      </c>
      <c r="K201" s="107"/>
      <c r="L201" s="55"/>
      <c r="M201" s="55"/>
      <c r="N201" s="55"/>
    </row>
    <row r="202" spans="1:14" s="16" customFormat="1" ht="15.75" thickBot="1" x14ac:dyDescent="0.3">
      <c r="A202" s="308" t="s">
        <v>262</v>
      </c>
      <c r="B202" s="309"/>
      <c r="C202" s="309"/>
      <c r="D202" s="309"/>
      <c r="E202" s="309"/>
      <c r="F202" s="309"/>
      <c r="G202" s="310"/>
      <c r="H202" s="169"/>
      <c r="I202" s="170"/>
      <c r="J202" s="171"/>
      <c r="K202" s="146"/>
      <c r="L202" s="66"/>
      <c r="M202" s="66"/>
      <c r="N202" s="66"/>
    </row>
    <row r="203" spans="1:14" ht="54" customHeight="1" x14ac:dyDescent="0.25">
      <c r="A203" s="276" t="s">
        <v>98</v>
      </c>
      <c r="B203" s="247" t="s">
        <v>263</v>
      </c>
      <c r="C203" s="246" t="s">
        <v>14</v>
      </c>
      <c r="D203" s="277">
        <f>D204+D205+D206+D207</f>
        <v>4449</v>
      </c>
      <c r="E203" s="138"/>
      <c r="F203" s="139"/>
      <c r="G203" s="166" t="s">
        <v>20</v>
      </c>
      <c r="H203" s="167"/>
      <c r="I203" s="142"/>
      <c r="J203" s="168" t="e">
        <f>D203*G203</f>
        <v>#VALUE!</v>
      </c>
      <c r="K203" s="143"/>
      <c r="L203" s="144"/>
      <c r="M203" s="144"/>
      <c r="N203" s="144"/>
    </row>
    <row r="204" spans="1:14" x14ac:dyDescent="0.25">
      <c r="A204" s="278" t="s">
        <v>422</v>
      </c>
      <c r="B204" s="279" t="s">
        <v>329</v>
      </c>
      <c r="C204" s="280" t="s">
        <v>14</v>
      </c>
      <c r="D204" s="281">
        <f>303+303</f>
        <v>606</v>
      </c>
      <c r="E204" s="181" t="s">
        <v>19</v>
      </c>
      <c r="F204" s="139"/>
      <c r="G204" s="182"/>
      <c r="H204" s="184" t="e">
        <f>D204*E204</f>
        <v>#VALUE!</v>
      </c>
      <c r="I204" s="185">
        <f>D204*F204</f>
        <v>0</v>
      </c>
      <c r="J204" s="183"/>
      <c r="K204" s="143" t="s">
        <v>30</v>
      </c>
      <c r="L204" s="144"/>
      <c r="M204" s="144"/>
      <c r="N204" s="144"/>
    </row>
    <row r="205" spans="1:14" x14ac:dyDescent="0.25">
      <c r="A205" s="278" t="s">
        <v>423</v>
      </c>
      <c r="B205" s="279" t="s">
        <v>330</v>
      </c>
      <c r="C205" s="280" t="s">
        <v>14</v>
      </c>
      <c r="D205" s="281">
        <f>1015+1014</f>
        <v>2029</v>
      </c>
      <c r="E205" s="181" t="s">
        <v>19</v>
      </c>
      <c r="F205" s="139"/>
      <c r="G205" s="182"/>
      <c r="H205" s="184" t="e">
        <f t="shared" ref="H205:H207" si="42">D205*E205</f>
        <v>#VALUE!</v>
      </c>
      <c r="I205" s="185">
        <f t="shared" ref="I205:I207" si="43">D205*F205</f>
        <v>0</v>
      </c>
      <c r="J205" s="183"/>
      <c r="K205" s="143" t="s">
        <v>30</v>
      </c>
      <c r="L205" s="144"/>
      <c r="M205" s="144"/>
      <c r="N205" s="144"/>
    </row>
    <row r="206" spans="1:14" x14ac:dyDescent="0.25">
      <c r="A206" s="278" t="s">
        <v>424</v>
      </c>
      <c r="B206" s="130" t="s">
        <v>264</v>
      </c>
      <c r="C206" s="280" t="s">
        <v>14</v>
      </c>
      <c r="D206" s="281">
        <f>736+644</f>
        <v>1380</v>
      </c>
      <c r="E206" s="181" t="s">
        <v>19</v>
      </c>
      <c r="F206" s="139"/>
      <c r="G206" s="182"/>
      <c r="H206" s="184" t="e">
        <f t="shared" si="42"/>
        <v>#VALUE!</v>
      </c>
      <c r="I206" s="185">
        <f t="shared" si="43"/>
        <v>0</v>
      </c>
      <c r="J206" s="183"/>
      <c r="K206" s="143" t="s">
        <v>30</v>
      </c>
      <c r="L206" s="144"/>
      <c r="M206" s="144"/>
      <c r="N206" s="144"/>
    </row>
    <row r="207" spans="1:14" x14ac:dyDescent="0.25">
      <c r="A207" s="278" t="s">
        <v>425</v>
      </c>
      <c r="B207" s="130" t="s">
        <v>336</v>
      </c>
      <c r="C207" s="280" t="s">
        <v>14</v>
      </c>
      <c r="D207" s="281">
        <f>217+217</f>
        <v>434</v>
      </c>
      <c r="E207" s="181" t="s">
        <v>19</v>
      </c>
      <c r="F207" s="139"/>
      <c r="G207" s="182"/>
      <c r="H207" s="184" t="e">
        <f t="shared" si="42"/>
        <v>#VALUE!</v>
      </c>
      <c r="I207" s="185">
        <f t="shared" si="43"/>
        <v>0</v>
      </c>
      <c r="J207" s="183"/>
      <c r="K207" s="143" t="s">
        <v>30</v>
      </c>
      <c r="L207" s="144"/>
      <c r="M207" s="144"/>
      <c r="N207" s="144"/>
    </row>
    <row r="208" spans="1:14" x14ac:dyDescent="0.25">
      <c r="A208" s="278" t="s">
        <v>471</v>
      </c>
      <c r="B208" s="130" t="s">
        <v>337</v>
      </c>
      <c r="C208" s="131" t="s">
        <v>14</v>
      </c>
      <c r="D208" s="252">
        <v>736</v>
      </c>
      <c r="E208" s="122" t="s">
        <v>19</v>
      </c>
      <c r="F208" s="35"/>
      <c r="G208" s="172"/>
      <c r="H208" s="73" t="e">
        <f>D208*E208</f>
        <v>#VALUE!</v>
      </c>
      <c r="I208" s="38">
        <f>D208*F208</f>
        <v>0</v>
      </c>
      <c r="J208" s="173"/>
      <c r="K208" s="143" t="s">
        <v>30</v>
      </c>
      <c r="L208" s="54"/>
      <c r="M208" s="54"/>
      <c r="N208" s="54"/>
    </row>
    <row r="209" spans="1:14" x14ac:dyDescent="0.25">
      <c r="A209" s="278" t="s">
        <v>472</v>
      </c>
      <c r="B209" s="130" t="s">
        <v>265</v>
      </c>
      <c r="C209" s="131" t="s">
        <v>14</v>
      </c>
      <c r="D209" s="252">
        <f>1535+1534</f>
        <v>3069</v>
      </c>
      <c r="E209" s="122" t="s">
        <v>19</v>
      </c>
      <c r="F209" s="35"/>
      <c r="G209" s="172"/>
      <c r="H209" s="73" t="e">
        <f>D209*E209</f>
        <v>#VALUE!</v>
      </c>
      <c r="I209" s="38">
        <f>D209*F209</f>
        <v>0</v>
      </c>
      <c r="J209" s="173"/>
      <c r="K209" s="143" t="s">
        <v>30</v>
      </c>
      <c r="L209" s="54"/>
      <c r="M209" s="54"/>
      <c r="N209" s="54"/>
    </row>
    <row r="210" spans="1:14" ht="38.25" x14ac:dyDescent="0.25">
      <c r="A210" s="244" t="s">
        <v>473</v>
      </c>
      <c r="B210" s="245" t="s">
        <v>365</v>
      </c>
      <c r="C210" s="131" t="s">
        <v>14</v>
      </c>
      <c r="D210" s="252">
        <f>D212</f>
        <v>24</v>
      </c>
      <c r="E210" s="111"/>
      <c r="F210" s="35"/>
      <c r="G210" s="166" t="s">
        <v>20</v>
      </c>
      <c r="H210" s="117"/>
      <c r="I210" s="112"/>
      <c r="J210" s="168" t="e">
        <f>D210*G210</f>
        <v>#VALUE!</v>
      </c>
      <c r="K210" s="24"/>
      <c r="L210" s="54"/>
      <c r="M210" s="54"/>
      <c r="N210" s="54"/>
    </row>
    <row r="211" spans="1:14" x14ac:dyDescent="0.25">
      <c r="A211" s="129" t="s">
        <v>426</v>
      </c>
      <c r="B211" s="130" t="s">
        <v>367</v>
      </c>
      <c r="C211" s="131" t="s">
        <v>14</v>
      </c>
      <c r="D211" s="252">
        <f>23+26</f>
        <v>49</v>
      </c>
      <c r="E211" s="122" t="s">
        <v>19</v>
      </c>
      <c r="F211" s="35"/>
      <c r="G211" s="172"/>
      <c r="H211" s="73" t="e">
        <f>D211*E211</f>
        <v>#VALUE!</v>
      </c>
      <c r="I211" s="38">
        <f>D211*F211</f>
        <v>0</v>
      </c>
      <c r="J211" s="212"/>
      <c r="K211" s="24" t="s">
        <v>30</v>
      </c>
      <c r="L211" s="54"/>
      <c r="M211" s="54"/>
      <c r="N211" s="54"/>
    </row>
    <row r="212" spans="1:14" x14ac:dyDescent="0.25">
      <c r="A212" s="129" t="s">
        <v>474</v>
      </c>
      <c r="B212" s="130" t="s">
        <v>366</v>
      </c>
      <c r="C212" s="131" t="s">
        <v>14</v>
      </c>
      <c r="D212" s="252">
        <f>11+13</f>
        <v>24</v>
      </c>
      <c r="E212" s="122" t="s">
        <v>19</v>
      </c>
      <c r="F212" s="35"/>
      <c r="G212" s="172"/>
      <c r="H212" s="73" t="e">
        <f>D212*E212</f>
        <v>#VALUE!</v>
      </c>
      <c r="I212" s="38">
        <f>D212*F212</f>
        <v>0</v>
      </c>
      <c r="J212" s="212"/>
      <c r="K212" s="24" t="s">
        <v>30</v>
      </c>
      <c r="L212" s="54"/>
      <c r="M212" s="54"/>
      <c r="N212" s="54"/>
    </row>
    <row r="213" spans="1:14" x14ac:dyDescent="0.25">
      <c r="A213" s="244" t="s">
        <v>475</v>
      </c>
      <c r="B213" s="245" t="s">
        <v>266</v>
      </c>
      <c r="C213" s="133" t="s">
        <v>14</v>
      </c>
      <c r="D213" s="253">
        <f>D214</f>
        <v>1482</v>
      </c>
      <c r="E213" s="100"/>
      <c r="F213" s="35"/>
      <c r="G213" s="99" t="s">
        <v>20</v>
      </c>
      <c r="H213" s="117"/>
      <c r="I213" s="112"/>
      <c r="J213" s="168" t="e">
        <f>D213*G213</f>
        <v>#VALUE!</v>
      </c>
      <c r="K213" s="24"/>
      <c r="L213" s="54"/>
      <c r="M213" s="54"/>
      <c r="N213" s="54"/>
    </row>
    <row r="214" spans="1:14" x14ac:dyDescent="0.25">
      <c r="A214" s="129" t="s">
        <v>427</v>
      </c>
      <c r="B214" s="130" t="s">
        <v>268</v>
      </c>
      <c r="C214" s="131" t="s">
        <v>14</v>
      </c>
      <c r="D214" s="252">
        <f>656+826</f>
        <v>1482</v>
      </c>
      <c r="E214" s="122" t="s">
        <v>19</v>
      </c>
      <c r="F214" s="35"/>
      <c r="G214" s="98"/>
      <c r="H214" s="73" t="e">
        <f>D214*E214</f>
        <v>#VALUE!</v>
      </c>
      <c r="I214" s="38">
        <f>D214*F214</f>
        <v>0</v>
      </c>
      <c r="J214" s="173"/>
      <c r="K214" s="24" t="s">
        <v>30</v>
      </c>
      <c r="L214" s="54"/>
      <c r="M214" s="54"/>
      <c r="N214" s="54"/>
    </row>
    <row r="215" spans="1:14" x14ac:dyDescent="0.25">
      <c r="A215" s="244" t="s">
        <v>428</v>
      </c>
      <c r="B215" s="245" t="s">
        <v>267</v>
      </c>
      <c r="C215" s="133" t="s">
        <v>14</v>
      </c>
      <c r="D215" s="253">
        <f>D216</f>
        <v>2762</v>
      </c>
      <c r="E215" s="100"/>
      <c r="F215" s="35"/>
      <c r="G215" s="99" t="s">
        <v>20</v>
      </c>
      <c r="H215" s="117"/>
      <c r="I215" s="112"/>
      <c r="J215" s="168" t="e">
        <f>D215*G215</f>
        <v>#VALUE!</v>
      </c>
      <c r="K215" s="24"/>
      <c r="L215" s="54"/>
      <c r="M215" s="54"/>
      <c r="N215" s="54"/>
    </row>
    <row r="216" spans="1:14" x14ac:dyDescent="0.25">
      <c r="A216" s="129" t="s">
        <v>429</v>
      </c>
      <c r="B216" s="130" t="s">
        <v>269</v>
      </c>
      <c r="C216" s="131" t="s">
        <v>14</v>
      </c>
      <c r="D216" s="252">
        <f>1474+1288</f>
        <v>2762</v>
      </c>
      <c r="E216" s="122" t="s">
        <v>19</v>
      </c>
      <c r="F216" s="35"/>
      <c r="G216" s="98"/>
      <c r="H216" s="73" t="e">
        <f>D216*E216</f>
        <v>#VALUE!</v>
      </c>
      <c r="I216" s="38">
        <f>D216*F216</f>
        <v>0</v>
      </c>
      <c r="J216" s="173"/>
      <c r="K216" s="24" t="s">
        <v>30</v>
      </c>
      <c r="L216" s="54"/>
      <c r="M216" s="54"/>
      <c r="N216" s="54"/>
    </row>
    <row r="217" spans="1:14" ht="31.5" customHeight="1" x14ac:dyDescent="0.25">
      <c r="A217" s="244" t="s">
        <v>430</v>
      </c>
      <c r="B217" s="245" t="s">
        <v>270</v>
      </c>
      <c r="C217" s="133" t="s">
        <v>14</v>
      </c>
      <c r="D217" s="253">
        <f>D218</f>
        <v>2023</v>
      </c>
      <c r="E217" s="100"/>
      <c r="F217" s="35"/>
      <c r="G217" s="99" t="s">
        <v>20</v>
      </c>
      <c r="H217" s="117"/>
      <c r="I217" s="112"/>
      <c r="J217" s="168" t="e">
        <f>D217*G217</f>
        <v>#VALUE!</v>
      </c>
      <c r="K217" s="24"/>
      <c r="L217" s="54"/>
      <c r="M217" s="54"/>
      <c r="N217" s="54"/>
    </row>
    <row r="218" spans="1:14" ht="25.5" x14ac:dyDescent="0.25">
      <c r="A218" s="129" t="s">
        <v>476</v>
      </c>
      <c r="B218" s="130" t="s">
        <v>271</v>
      </c>
      <c r="C218" s="131" t="s">
        <v>14</v>
      </c>
      <c r="D218" s="252">
        <f>1072+951</f>
        <v>2023</v>
      </c>
      <c r="E218" s="122" t="s">
        <v>19</v>
      </c>
      <c r="F218" s="35"/>
      <c r="G218" s="98"/>
      <c r="H218" s="73" t="e">
        <f>D218*E218</f>
        <v>#VALUE!</v>
      </c>
      <c r="I218" s="38">
        <f>D218*F218</f>
        <v>0</v>
      </c>
      <c r="J218" s="113"/>
      <c r="K218" s="24" t="s">
        <v>30</v>
      </c>
      <c r="L218" s="54"/>
      <c r="M218" s="54"/>
      <c r="N218" s="54"/>
    </row>
    <row r="219" spans="1:14" ht="33.75" customHeight="1" x14ac:dyDescent="0.25">
      <c r="A219" s="244" t="s">
        <v>431</v>
      </c>
      <c r="B219" s="245" t="s">
        <v>272</v>
      </c>
      <c r="C219" s="133" t="s">
        <v>14</v>
      </c>
      <c r="D219" s="253">
        <f>D220</f>
        <v>4232</v>
      </c>
      <c r="E219" s="100"/>
      <c r="F219" s="35"/>
      <c r="G219" s="99" t="s">
        <v>20</v>
      </c>
      <c r="H219" s="117"/>
      <c r="I219" s="112"/>
      <c r="J219" s="151" t="e">
        <f>D219*G219</f>
        <v>#VALUE!</v>
      </c>
      <c r="K219" s="24"/>
      <c r="L219" s="54"/>
      <c r="M219" s="54"/>
      <c r="N219" s="54"/>
    </row>
    <row r="220" spans="1:14" x14ac:dyDescent="0.25">
      <c r="A220" s="129" t="s">
        <v>477</v>
      </c>
      <c r="B220" s="130" t="s">
        <v>273</v>
      </c>
      <c r="C220" s="131" t="s">
        <v>14</v>
      </c>
      <c r="D220" s="252">
        <f>2300+1932</f>
        <v>4232</v>
      </c>
      <c r="E220" s="122" t="s">
        <v>19</v>
      </c>
      <c r="F220" s="35"/>
      <c r="G220" s="98"/>
      <c r="H220" s="73" t="e">
        <f>D220*E220</f>
        <v>#VALUE!</v>
      </c>
      <c r="I220" s="38">
        <f>D220*F220</f>
        <v>0</v>
      </c>
      <c r="J220" s="113"/>
      <c r="K220" s="24" t="s">
        <v>30</v>
      </c>
      <c r="L220" s="54"/>
      <c r="M220" s="54"/>
      <c r="N220" s="54"/>
    </row>
    <row r="221" spans="1:14" ht="39" customHeight="1" x14ac:dyDescent="0.25">
      <c r="A221" s="244" t="s">
        <v>432</v>
      </c>
      <c r="B221" s="245" t="s">
        <v>276</v>
      </c>
      <c r="C221" s="133" t="s">
        <v>14</v>
      </c>
      <c r="D221" s="253">
        <f>D222</f>
        <v>166</v>
      </c>
      <c r="E221" s="100"/>
      <c r="F221" s="35"/>
      <c r="G221" s="99" t="s">
        <v>20</v>
      </c>
      <c r="H221" s="117"/>
      <c r="I221" s="112"/>
      <c r="J221" s="151"/>
      <c r="K221" s="24"/>
      <c r="L221" s="54"/>
      <c r="M221" s="54"/>
      <c r="N221" s="54"/>
    </row>
    <row r="222" spans="1:14" ht="23.25" customHeight="1" x14ac:dyDescent="0.25">
      <c r="A222" s="129" t="s">
        <v>478</v>
      </c>
      <c r="B222" s="130" t="s">
        <v>277</v>
      </c>
      <c r="C222" s="131" t="s">
        <v>14</v>
      </c>
      <c r="D222" s="252">
        <f>85+81</f>
        <v>166</v>
      </c>
      <c r="E222" s="34" t="s">
        <v>19</v>
      </c>
      <c r="F222" s="35"/>
      <c r="G222" s="36"/>
      <c r="H222" s="73" t="e">
        <f>D222*E222</f>
        <v>#VALUE!</v>
      </c>
      <c r="I222" s="38">
        <f>D222*F222</f>
        <v>0</v>
      </c>
      <c r="J222" s="161"/>
      <c r="K222" s="24" t="s">
        <v>30</v>
      </c>
      <c r="L222" s="54"/>
      <c r="M222" s="54"/>
      <c r="N222" s="54"/>
    </row>
    <row r="223" spans="1:14" ht="25.5" x14ac:dyDescent="0.25">
      <c r="A223" s="244" t="s">
        <v>433</v>
      </c>
      <c r="B223" s="245" t="s">
        <v>280</v>
      </c>
      <c r="C223" s="133" t="s">
        <v>14</v>
      </c>
      <c r="D223" s="253">
        <f>D224</f>
        <v>43</v>
      </c>
      <c r="E223" s="100"/>
      <c r="F223" s="94"/>
      <c r="G223" s="40" t="s">
        <v>20</v>
      </c>
      <c r="H223" s="150"/>
      <c r="I223" s="114"/>
      <c r="J223" s="151" t="e">
        <f>D223*G223</f>
        <v>#VALUE!</v>
      </c>
      <c r="K223" s="24" t="s">
        <v>30</v>
      </c>
      <c r="L223" s="54"/>
      <c r="M223" s="54"/>
      <c r="N223" s="54"/>
    </row>
    <row r="224" spans="1:14" ht="25.5" customHeight="1" x14ac:dyDescent="0.25">
      <c r="A224" s="129" t="s">
        <v>479</v>
      </c>
      <c r="B224" s="130" t="s">
        <v>281</v>
      </c>
      <c r="C224" s="131" t="s">
        <v>14</v>
      </c>
      <c r="D224" s="252">
        <f>20+23</f>
        <v>43</v>
      </c>
      <c r="E224" s="34" t="s">
        <v>19</v>
      </c>
      <c r="F224" s="35"/>
      <c r="G224" s="36"/>
      <c r="H224" s="73" t="e">
        <f>D224*E224</f>
        <v>#VALUE!</v>
      </c>
      <c r="I224" s="38">
        <f>D224*F224</f>
        <v>0</v>
      </c>
      <c r="J224" s="161"/>
      <c r="K224" s="24" t="s">
        <v>30</v>
      </c>
      <c r="L224" s="54"/>
      <c r="M224" s="54"/>
      <c r="N224" s="54"/>
    </row>
    <row r="225" spans="1:14" ht="25.5" x14ac:dyDescent="0.25">
      <c r="A225" s="244" t="s">
        <v>480</v>
      </c>
      <c r="B225" s="245" t="s">
        <v>282</v>
      </c>
      <c r="C225" s="133" t="s">
        <v>14</v>
      </c>
      <c r="D225" s="253">
        <f>D226</f>
        <v>1385</v>
      </c>
      <c r="E225" s="100"/>
      <c r="F225" s="94"/>
      <c r="G225" s="40" t="s">
        <v>20</v>
      </c>
      <c r="H225" s="150"/>
      <c r="I225" s="114"/>
      <c r="J225" s="151" t="e">
        <f>D225*G225</f>
        <v>#VALUE!</v>
      </c>
      <c r="K225" s="24"/>
      <c r="L225" s="54"/>
      <c r="M225" s="54"/>
      <c r="N225" s="54"/>
    </row>
    <row r="226" spans="1:14" ht="36.75" customHeight="1" x14ac:dyDescent="0.25">
      <c r="A226" s="129" t="s">
        <v>481</v>
      </c>
      <c r="B226" s="130" t="s">
        <v>283</v>
      </c>
      <c r="C226" s="131" t="s">
        <v>14</v>
      </c>
      <c r="D226" s="252">
        <f>738+647</f>
        <v>1385</v>
      </c>
      <c r="E226" s="34" t="s">
        <v>19</v>
      </c>
      <c r="F226" s="35"/>
      <c r="G226" s="36"/>
      <c r="H226" s="73" t="e">
        <f>D226*E226</f>
        <v>#VALUE!</v>
      </c>
      <c r="I226" s="38">
        <f>D226*F226</f>
        <v>0</v>
      </c>
      <c r="J226" s="161"/>
      <c r="K226" s="24" t="s">
        <v>30</v>
      </c>
      <c r="L226" s="54"/>
      <c r="M226" s="54"/>
      <c r="N226" s="54"/>
    </row>
    <row r="227" spans="1:14" ht="25.5" x14ac:dyDescent="0.25">
      <c r="A227" s="244" t="s">
        <v>482</v>
      </c>
      <c r="B227" s="245" t="s">
        <v>284</v>
      </c>
      <c r="C227" s="133" t="s">
        <v>14</v>
      </c>
      <c r="D227" s="253">
        <f>D228</f>
        <v>81</v>
      </c>
      <c r="E227" s="100"/>
      <c r="F227" s="94"/>
      <c r="G227" s="40" t="s">
        <v>20</v>
      </c>
      <c r="H227" s="150"/>
      <c r="I227" s="114"/>
      <c r="J227" s="151" t="e">
        <f>D227*G227</f>
        <v>#VALUE!</v>
      </c>
      <c r="K227" s="24"/>
      <c r="L227" s="54"/>
      <c r="M227" s="54"/>
      <c r="N227" s="54"/>
    </row>
    <row r="228" spans="1:14" ht="29.25" customHeight="1" x14ac:dyDescent="0.25">
      <c r="A228" s="129" t="s">
        <v>483</v>
      </c>
      <c r="B228" s="130" t="s">
        <v>285</v>
      </c>
      <c r="C228" s="131" t="s">
        <v>14</v>
      </c>
      <c r="D228" s="252">
        <f>41+40</f>
        <v>81</v>
      </c>
      <c r="E228" s="34" t="s">
        <v>19</v>
      </c>
      <c r="F228" s="35"/>
      <c r="G228" s="36"/>
      <c r="H228" s="73" t="e">
        <f>D228*E228</f>
        <v>#VALUE!</v>
      </c>
      <c r="I228" s="38">
        <f>D228*F228</f>
        <v>0</v>
      </c>
      <c r="J228" s="161"/>
      <c r="K228" s="24" t="s">
        <v>30</v>
      </c>
      <c r="L228" s="54"/>
      <c r="M228" s="54"/>
      <c r="N228" s="54"/>
    </row>
    <row r="229" spans="1:14" ht="18" customHeight="1" x14ac:dyDescent="0.25">
      <c r="A229" s="244" t="s">
        <v>484</v>
      </c>
      <c r="B229" s="245" t="s">
        <v>287</v>
      </c>
      <c r="C229" s="133" t="s">
        <v>14</v>
      </c>
      <c r="D229" s="256">
        <f>D230+(D231)*2</f>
        <v>14871</v>
      </c>
      <c r="E229" s="100"/>
      <c r="F229" s="94"/>
      <c r="G229" s="40" t="s">
        <v>20</v>
      </c>
      <c r="H229" s="150"/>
      <c r="I229" s="114"/>
      <c r="J229" s="151" t="e">
        <f>D229*G229</f>
        <v>#VALUE!</v>
      </c>
      <c r="K229" s="24"/>
      <c r="L229" s="54"/>
      <c r="M229" s="54"/>
      <c r="N229" s="54"/>
    </row>
    <row r="230" spans="1:14" ht="23.25" customHeight="1" x14ac:dyDescent="0.25">
      <c r="A230" s="129" t="s">
        <v>485</v>
      </c>
      <c r="B230" s="130" t="s">
        <v>288</v>
      </c>
      <c r="C230" s="131" t="s">
        <v>14</v>
      </c>
      <c r="D230" s="275">
        <f>4445+3910</f>
        <v>8355</v>
      </c>
      <c r="E230" s="34" t="s">
        <v>19</v>
      </c>
      <c r="F230" s="35"/>
      <c r="G230" s="36"/>
      <c r="H230" s="73" t="e">
        <f>D230*E230</f>
        <v>#VALUE!</v>
      </c>
      <c r="I230" s="38">
        <f>D230*F230</f>
        <v>0</v>
      </c>
      <c r="J230" s="161"/>
      <c r="K230" s="24" t="s">
        <v>30</v>
      </c>
      <c r="L230" s="54"/>
      <c r="M230" s="54"/>
      <c r="N230" s="54"/>
    </row>
    <row r="231" spans="1:14" ht="22.5" customHeight="1" x14ac:dyDescent="0.25">
      <c r="A231" s="129" t="s">
        <v>486</v>
      </c>
      <c r="B231" s="130" t="s">
        <v>289</v>
      </c>
      <c r="C231" s="131" t="s">
        <v>14</v>
      </c>
      <c r="D231" s="275">
        <f>1472+1786</f>
        <v>3258</v>
      </c>
      <c r="E231" s="34" t="s">
        <v>19</v>
      </c>
      <c r="F231" s="35"/>
      <c r="G231" s="36"/>
      <c r="H231" s="73" t="e">
        <f>D231*E231</f>
        <v>#VALUE!</v>
      </c>
      <c r="I231" s="38">
        <f>D231*F231</f>
        <v>0</v>
      </c>
      <c r="J231" s="161"/>
      <c r="K231" s="24" t="s">
        <v>30</v>
      </c>
      <c r="L231" s="54"/>
      <c r="M231" s="54"/>
      <c r="N231" s="54"/>
    </row>
    <row r="232" spans="1:14" ht="26.25" customHeight="1" x14ac:dyDescent="0.25">
      <c r="A232" s="244" t="s">
        <v>487</v>
      </c>
      <c r="B232" s="245" t="s">
        <v>290</v>
      </c>
      <c r="C232" s="133" t="s">
        <v>14</v>
      </c>
      <c r="D232" s="253">
        <f>D233</f>
        <v>1380</v>
      </c>
      <c r="E232" s="100"/>
      <c r="F232" s="114"/>
      <c r="G232" s="40" t="s">
        <v>20</v>
      </c>
      <c r="H232" s="150"/>
      <c r="I232" s="114"/>
      <c r="J232" s="151" t="e">
        <f>D232*G232</f>
        <v>#VALUE!</v>
      </c>
      <c r="K232" s="24"/>
      <c r="L232" s="54"/>
      <c r="M232" s="54"/>
      <c r="N232" s="54"/>
    </row>
    <row r="233" spans="1:14" ht="30.75" customHeight="1" x14ac:dyDescent="0.25">
      <c r="A233" s="129" t="s">
        <v>488</v>
      </c>
      <c r="B233" s="130" t="s">
        <v>291</v>
      </c>
      <c r="C233" s="131" t="s">
        <v>14</v>
      </c>
      <c r="D233" s="252">
        <f>736+644</f>
        <v>1380</v>
      </c>
      <c r="E233" s="34" t="s">
        <v>19</v>
      </c>
      <c r="F233" s="35"/>
      <c r="G233" s="36"/>
      <c r="H233" s="73" t="e">
        <f>D233*E233</f>
        <v>#VALUE!</v>
      </c>
      <c r="I233" s="38">
        <f>D233*F233</f>
        <v>0</v>
      </c>
      <c r="J233" s="161"/>
      <c r="K233" s="24" t="s">
        <v>30</v>
      </c>
      <c r="L233" s="54"/>
      <c r="M233" s="54"/>
      <c r="N233" s="54"/>
    </row>
    <row r="234" spans="1:14" ht="21" customHeight="1" x14ac:dyDescent="0.25">
      <c r="A234" s="244" t="s">
        <v>489</v>
      </c>
      <c r="B234" s="245" t="s">
        <v>292</v>
      </c>
      <c r="C234" s="133" t="s">
        <v>27</v>
      </c>
      <c r="D234" s="253">
        <f>D235</f>
        <v>1380</v>
      </c>
      <c r="E234" s="100"/>
      <c r="F234" s="94"/>
      <c r="G234" s="40" t="s">
        <v>20</v>
      </c>
      <c r="H234" s="150"/>
      <c r="I234" s="114"/>
      <c r="J234" s="151" t="e">
        <f>D234*G234</f>
        <v>#VALUE!</v>
      </c>
      <c r="K234" s="24"/>
      <c r="L234" s="54"/>
      <c r="M234" s="54"/>
      <c r="N234" s="54"/>
    </row>
    <row r="235" spans="1:14" ht="18.75" customHeight="1" x14ac:dyDescent="0.25">
      <c r="A235" s="129" t="s">
        <v>490</v>
      </c>
      <c r="B235" s="130" t="s">
        <v>293</v>
      </c>
      <c r="C235" s="131" t="s">
        <v>27</v>
      </c>
      <c r="D235" s="252">
        <f>736+644</f>
        <v>1380</v>
      </c>
      <c r="E235" s="34" t="s">
        <v>19</v>
      </c>
      <c r="F235" s="35"/>
      <c r="G235" s="36"/>
      <c r="H235" s="73" t="e">
        <f>D235*E235</f>
        <v>#VALUE!</v>
      </c>
      <c r="I235" s="38">
        <f>D235*F235</f>
        <v>0</v>
      </c>
      <c r="J235" s="161"/>
      <c r="K235" s="24" t="s">
        <v>30</v>
      </c>
      <c r="L235" s="54"/>
      <c r="M235" s="54"/>
      <c r="N235" s="54"/>
    </row>
    <row r="236" spans="1:14" x14ac:dyDescent="0.25">
      <c r="A236" s="244" t="s">
        <v>491</v>
      </c>
      <c r="B236" s="245" t="s">
        <v>331</v>
      </c>
      <c r="C236" s="133" t="s">
        <v>14</v>
      </c>
      <c r="D236" s="253">
        <f>D237</f>
        <v>34</v>
      </c>
      <c r="E236" s="100"/>
      <c r="F236" s="35"/>
      <c r="G236" s="99" t="s">
        <v>20</v>
      </c>
      <c r="H236" s="117"/>
      <c r="I236" s="112"/>
      <c r="J236" s="151" t="e">
        <f>D236*G236</f>
        <v>#VALUE!</v>
      </c>
      <c r="K236" s="24"/>
      <c r="L236" s="54"/>
      <c r="M236" s="54"/>
      <c r="N236" s="54"/>
    </row>
    <row r="237" spans="1:14" x14ac:dyDescent="0.25">
      <c r="A237" s="129" t="s">
        <v>492</v>
      </c>
      <c r="B237" s="130" t="s">
        <v>332</v>
      </c>
      <c r="C237" s="131" t="s">
        <v>14</v>
      </c>
      <c r="D237" s="252">
        <f>18+16</f>
        <v>34</v>
      </c>
      <c r="E237" s="34" t="s">
        <v>19</v>
      </c>
      <c r="F237" s="35"/>
      <c r="G237" s="36"/>
      <c r="H237" s="73" t="e">
        <f>D237*E237</f>
        <v>#VALUE!</v>
      </c>
      <c r="I237" s="38">
        <f>D237*F237</f>
        <v>0</v>
      </c>
      <c r="J237" s="161"/>
      <c r="K237" s="24" t="s">
        <v>30</v>
      </c>
      <c r="L237" s="54"/>
      <c r="M237" s="54"/>
      <c r="N237" s="54"/>
    </row>
    <row r="238" spans="1:14" x14ac:dyDescent="0.25">
      <c r="A238" s="129" t="s">
        <v>493</v>
      </c>
      <c r="B238" s="130" t="s">
        <v>333</v>
      </c>
      <c r="C238" s="131" t="s">
        <v>14</v>
      </c>
      <c r="D238" s="252">
        <f>18+16</f>
        <v>34</v>
      </c>
      <c r="E238" s="34" t="s">
        <v>19</v>
      </c>
      <c r="F238" s="35"/>
      <c r="G238" s="36"/>
      <c r="H238" s="73" t="e">
        <f>D238*E238</f>
        <v>#VALUE!</v>
      </c>
      <c r="I238" s="38">
        <f>D238*F238</f>
        <v>0</v>
      </c>
      <c r="J238" s="161"/>
      <c r="K238" s="24" t="s">
        <v>30</v>
      </c>
      <c r="L238" s="54"/>
      <c r="M238" s="54"/>
      <c r="N238" s="54"/>
    </row>
    <row r="239" spans="1:14" ht="26.25" customHeight="1" x14ac:dyDescent="0.25">
      <c r="A239" s="133">
        <v>64</v>
      </c>
      <c r="B239" s="245" t="s">
        <v>334</v>
      </c>
      <c r="C239" s="133" t="s">
        <v>14</v>
      </c>
      <c r="D239" s="253">
        <f>D240</f>
        <v>4</v>
      </c>
      <c r="E239" s="39"/>
      <c r="F239" s="35"/>
      <c r="G239" s="40" t="s">
        <v>20</v>
      </c>
      <c r="H239" s="74"/>
      <c r="I239" s="35"/>
      <c r="J239" s="151" t="e">
        <f t="shared" ref="J239" si="44">D239*G239</f>
        <v>#VALUE!</v>
      </c>
      <c r="K239" s="54"/>
      <c r="L239" s="54"/>
      <c r="M239" s="54"/>
      <c r="N239" s="54"/>
    </row>
    <row r="240" spans="1:14" x14ac:dyDescent="0.25">
      <c r="A240" s="129" t="s">
        <v>494</v>
      </c>
      <c r="B240" s="130" t="s">
        <v>335</v>
      </c>
      <c r="C240" s="131" t="s">
        <v>14</v>
      </c>
      <c r="D240" s="252">
        <f>2+2</f>
        <v>4</v>
      </c>
      <c r="E240" s="34" t="s">
        <v>19</v>
      </c>
      <c r="F240" s="35"/>
      <c r="G240" s="36"/>
      <c r="H240" s="73" t="e">
        <f t="shared" si="19"/>
        <v>#VALUE!</v>
      </c>
      <c r="I240" s="38">
        <f t="shared" ref="I240" si="45">D240*F240</f>
        <v>0</v>
      </c>
      <c r="J240" s="51"/>
      <c r="K240" s="24" t="s">
        <v>30</v>
      </c>
      <c r="L240" s="54"/>
      <c r="M240" s="54"/>
      <c r="N240" s="54"/>
    </row>
    <row r="241" spans="1:14" ht="15.75" thickBot="1" x14ac:dyDescent="0.3">
      <c r="A241" s="21"/>
      <c r="B241" s="71" t="s">
        <v>26</v>
      </c>
      <c r="C241" s="21"/>
      <c r="D241" s="76"/>
      <c r="E241" s="41"/>
      <c r="F241" s="42"/>
      <c r="G241" s="43"/>
      <c r="H241" s="77" t="e">
        <f>SUM(H204:H240)</f>
        <v>#VALUE!</v>
      </c>
      <c r="I241" s="77">
        <f>SUM(I204:I240)</f>
        <v>0</v>
      </c>
      <c r="J241" s="77" t="e">
        <f>SUM(J203:J239)</f>
        <v>#VALUE!</v>
      </c>
      <c r="K241" s="21"/>
      <c r="L241" s="21"/>
      <c r="M241" s="21"/>
      <c r="N241" s="21"/>
    </row>
    <row r="242" spans="1:14" ht="15.75" thickBot="1" x14ac:dyDescent="0.3">
      <c r="A242" s="15"/>
      <c r="B242" s="297" t="s">
        <v>221</v>
      </c>
      <c r="C242" s="301"/>
      <c r="D242" s="301"/>
      <c r="E242" s="301"/>
      <c r="F242" s="301"/>
      <c r="G242" s="46"/>
      <c r="H242" s="46"/>
      <c r="I242" s="46"/>
      <c r="J242" s="47"/>
      <c r="K242" s="52"/>
      <c r="L242" s="26"/>
      <c r="M242" s="26"/>
      <c r="N242" s="27"/>
    </row>
    <row r="243" spans="1:14" ht="54" customHeight="1" thickBot="1" x14ac:dyDescent="0.3">
      <c r="A243" s="241">
        <v>65</v>
      </c>
      <c r="B243" s="242" t="s">
        <v>418</v>
      </c>
      <c r="C243" s="241" t="s">
        <v>239</v>
      </c>
      <c r="D243" s="241">
        <v>217.7</v>
      </c>
      <c r="E243" s="31"/>
      <c r="F243" s="32"/>
      <c r="G243" s="118" t="s">
        <v>20</v>
      </c>
      <c r="H243" s="31"/>
      <c r="I243" s="32"/>
      <c r="J243" s="151" t="e">
        <f>D243*G243</f>
        <v>#VALUE!</v>
      </c>
      <c r="K243" s="53"/>
      <c r="L243" s="53"/>
      <c r="M243" s="53"/>
      <c r="N243" s="53"/>
    </row>
    <row r="244" spans="1:14" ht="25.5" x14ac:dyDescent="0.25">
      <c r="A244" s="244" t="s">
        <v>495</v>
      </c>
      <c r="B244" s="245" t="s">
        <v>222</v>
      </c>
      <c r="C244" s="241" t="s">
        <v>239</v>
      </c>
      <c r="D244" s="133">
        <v>186.7</v>
      </c>
      <c r="E244" s="34" t="s">
        <v>19</v>
      </c>
      <c r="F244" s="35"/>
      <c r="G244" s="36"/>
      <c r="H244" s="37" t="e">
        <f t="shared" ref="H244:H247" si="46">D244*E244</f>
        <v>#VALUE!</v>
      </c>
      <c r="I244" s="38">
        <f t="shared" ref="I244:I247" si="47">D244*F244</f>
        <v>0</v>
      </c>
      <c r="J244" s="51"/>
      <c r="K244" s="24" t="s">
        <v>30</v>
      </c>
      <c r="L244" s="54"/>
      <c r="M244" s="54"/>
      <c r="N244" s="54"/>
    </row>
    <row r="245" spans="1:14" ht="51" x14ac:dyDescent="0.25">
      <c r="A245" s="129" t="s">
        <v>496</v>
      </c>
      <c r="B245" s="130" t="s">
        <v>421</v>
      </c>
      <c r="C245" s="131" t="s">
        <v>239</v>
      </c>
      <c r="D245" s="131">
        <v>47</v>
      </c>
      <c r="E245" s="34" t="s">
        <v>19</v>
      </c>
      <c r="F245" s="35"/>
      <c r="G245" s="65"/>
      <c r="H245" s="37" t="e">
        <f t="shared" si="46"/>
        <v>#VALUE!</v>
      </c>
      <c r="I245" s="38">
        <f t="shared" si="47"/>
        <v>0</v>
      </c>
      <c r="J245" s="113"/>
      <c r="K245" s="24" t="s">
        <v>30</v>
      </c>
      <c r="L245" s="54"/>
      <c r="M245" s="54"/>
      <c r="N245" s="54"/>
    </row>
    <row r="246" spans="1:14" ht="25.5" x14ac:dyDescent="0.25">
      <c r="A246" s="244" t="s">
        <v>497</v>
      </c>
      <c r="B246" s="245" t="s">
        <v>223</v>
      </c>
      <c r="C246" s="133" t="s">
        <v>11</v>
      </c>
      <c r="D246" s="133">
        <v>1244</v>
      </c>
      <c r="E246" s="100"/>
      <c r="F246" s="35"/>
      <c r="G246" s="40" t="s">
        <v>20</v>
      </c>
      <c r="H246" s="111"/>
      <c r="I246" s="112"/>
      <c r="J246" s="151" t="e">
        <f>D246*G246</f>
        <v>#VALUE!</v>
      </c>
      <c r="K246" s="24"/>
      <c r="L246" s="54"/>
      <c r="M246" s="54"/>
      <c r="N246" s="54"/>
    </row>
    <row r="247" spans="1:14" ht="51" x14ac:dyDescent="0.25">
      <c r="A247" s="129" t="s">
        <v>498</v>
      </c>
      <c r="B247" s="130" t="s">
        <v>419</v>
      </c>
      <c r="C247" s="131" t="s">
        <v>239</v>
      </c>
      <c r="D247" s="131">
        <v>31</v>
      </c>
      <c r="E247" s="34" t="s">
        <v>19</v>
      </c>
      <c r="F247" s="35"/>
      <c r="G247" s="65"/>
      <c r="H247" s="37" t="e">
        <f t="shared" si="46"/>
        <v>#VALUE!</v>
      </c>
      <c r="I247" s="38">
        <f t="shared" si="47"/>
        <v>0</v>
      </c>
      <c r="J247" s="113"/>
      <c r="K247" s="24" t="s">
        <v>30</v>
      </c>
      <c r="L247" s="54"/>
      <c r="M247" s="54"/>
      <c r="N247" s="54"/>
    </row>
    <row r="248" spans="1:14" ht="25.5" x14ac:dyDescent="0.25">
      <c r="A248" s="244" t="s">
        <v>499</v>
      </c>
      <c r="B248" s="245" t="s">
        <v>224</v>
      </c>
      <c r="C248" s="133" t="s">
        <v>11</v>
      </c>
      <c r="D248" s="133">
        <f>D249+D250+D251+D252</f>
        <v>1190</v>
      </c>
      <c r="E248" s="100"/>
      <c r="F248" s="94"/>
      <c r="G248" s="40" t="s">
        <v>20</v>
      </c>
      <c r="H248" s="100"/>
      <c r="I248" s="114"/>
      <c r="J248" s="151" t="e">
        <f t="shared" ref="J248" si="48">D248*G248</f>
        <v>#VALUE!</v>
      </c>
      <c r="K248" s="24"/>
      <c r="L248" s="54"/>
      <c r="M248" s="54"/>
      <c r="N248" s="54"/>
    </row>
    <row r="249" spans="1:14" x14ac:dyDescent="0.25">
      <c r="A249" s="129" t="s">
        <v>500</v>
      </c>
      <c r="B249" s="130" t="s">
        <v>225</v>
      </c>
      <c r="C249" s="131" t="s">
        <v>11</v>
      </c>
      <c r="D249" s="131">
        <f>125+125</f>
        <v>250</v>
      </c>
      <c r="E249" s="34" t="s">
        <v>19</v>
      </c>
      <c r="F249" s="94"/>
      <c r="G249" s="65"/>
      <c r="H249" s="37" t="e">
        <f t="shared" ref="H249:H252" si="49">D249*E249</f>
        <v>#VALUE!</v>
      </c>
      <c r="I249" s="38">
        <f t="shared" ref="I249:I252" si="50">D249*F249</f>
        <v>0</v>
      </c>
      <c r="J249" s="155"/>
      <c r="K249" s="24" t="s">
        <v>30</v>
      </c>
      <c r="L249" s="54"/>
      <c r="M249" s="54"/>
      <c r="N249" s="54"/>
    </row>
    <row r="250" spans="1:14" x14ac:dyDescent="0.25">
      <c r="A250" s="129" t="s">
        <v>501</v>
      </c>
      <c r="B250" s="130" t="s">
        <v>226</v>
      </c>
      <c r="C250" s="131" t="s">
        <v>11</v>
      </c>
      <c r="D250" s="131">
        <f>215+215</f>
        <v>430</v>
      </c>
      <c r="E250" s="34" t="s">
        <v>19</v>
      </c>
      <c r="F250" s="35"/>
      <c r="G250" s="36"/>
      <c r="H250" s="37" t="e">
        <f t="shared" si="49"/>
        <v>#VALUE!</v>
      </c>
      <c r="I250" s="38">
        <f t="shared" si="50"/>
        <v>0</v>
      </c>
      <c r="J250" s="51"/>
      <c r="K250" s="24" t="s">
        <v>30</v>
      </c>
      <c r="L250" s="54"/>
      <c r="M250" s="54"/>
      <c r="N250" s="54"/>
    </row>
    <row r="251" spans="1:14" x14ac:dyDescent="0.25">
      <c r="A251" s="129" t="s">
        <v>502</v>
      </c>
      <c r="B251" s="130" t="s">
        <v>227</v>
      </c>
      <c r="C251" s="131" t="s">
        <v>11</v>
      </c>
      <c r="D251" s="131">
        <f>105+105</f>
        <v>210</v>
      </c>
      <c r="E251" s="34" t="s">
        <v>19</v>
      </c>
      <c r="F251" s="35"/>
      <c r="G251" s="65"/>
      <c r="H251" s="37" t="e">
        <f t="shared" si="49"/>
        <v>#VALUE!</v>
      </c>
      <c r="I251" s="38">
        <f t="shared" si="50"/>
        <v>0</v>
      </c>
      <c r="J251" s="113"/>
      <c r="K251" s="24" t="s">
        <v>30</v>
      </c>
      <c r="L251" s="54"/>
      <c r="M251" s="54"/>
      <c r="N251" s="54"/>
    </row>
    <row r="252" spans="1:14" ht="25.5" x14ac:dyDescent="0.25">
      <c r="A252" s="129" t="s">
        <v>503</v>
      </c>
      <c r="B252" s="130" t="s">
        <v>228</v>
      </c>
      <c r="C252" s="131" t="s">
        <v>11</v>
      </c>
      <c r="D252" s="131">
        <f>150+150</f>
        <v>300</v>
      </c>
      <c r="E252" s="34" t="s">
        <v>19</v>
      </c>
      <c r="F252" s="35"/>
      <c r="G252" s="65"/>
      <c r="H252" s="37" t="e">
        <f t="shared" si="49"/>
        <v>#VALUE!</v>
      </c>
      <c r="I252" s="38">
        <f t="shared" si="50"/>
        <v>0</v>
      </c>
      <c r="J252" s="113"/>
      <c r="K252" s="24" t="s">
        <v>30</v>
      </c>
      <c r="L252" s="54"/>
      <c r="M252" s="54"/>
      <c r="N252" s="54"/>
    </row>
    <row r="253" spans="1:14" ht="24.75" customHeight="1" x14ac:dyDescent="0.25">
      <c r="A253" s="133">
        <v>69</v>
      </c>
      <c r="B253" s="245" t="s">
        <v>229</v>
      </c>
      <c r="C253" s="133" t="s">
        <v>11</v>
      </c>
      <c r="D253" s="133">
        <f>D254</f>
        <v>54</v>
      </c>
      <c r="E253" s="39"/>
      <c r="F253" s="35"/>
      <c r="G253" s="40" t="s">
        <v>20</v>
      </c>
      <c r="H253" s="39"/>
      <c r="I253" s="35"/>
      <c r="J253" s="151" t="e">
        <f t="shared" ref="J253" si="51">D253*G253</f>
        <v>#VALUE!</v>
      </c>
      <c r="K253" s="54"/>
      <c r="L253" s="54"/>
      <c r="M253" s="54"/>
      <c r="N253" s="54"/>
    </row>
    <row r="254" spans="1:14" x14ac:dyDescent="0.25">
      <c r="A254" s="129" t="s">
        <v>504</v>
      </c>
      <c r="B254" s="282" t="s">
        <v>230</v>
      </c>
      <c r="C254" s="131" t="s">
        <v>11</v>
      </c>
      <c r="D254" s="131">
        <f>36+18</f>
        <v>54</v>
      </c>
      <c r="E254" s="34" t="s">
        <v>19</v>
      </c>
      <c r="F254" s="35"/>
      <c r="G254" s="36"/>
      <c r="H254" s="37" t="e">
        <f t="shared" ref="H254" si="52">D254*E254</f>
        <v>#VALUE!</v>
      </c>
      <c r="I254" s="38">
        <f t="shared" ref="I254" si="53">D254*F254</f>
        <v>0</v>
      </c>
      <c r="J254" s="161"/>
      <c r="K254" s="24" t="s">
        <v>30</v>
      </c>
      <c r="L254" s="54"/>
      <c r="M254" s="54"/>
      <c r="N254" s="54"/>
    </row>
    <row r="255" spans="1:14" ht="25.5" x14ac:dyDescent="0.25">
      <c r="A255" s="133">
        <v>70</v>
      </c>
      <c r="B255" s="245" t="s">
        <v>231</v>
      </c>
      <c r="C255" s="133" t="s">
        <v>11</v>
      </c>
      <c r="D255" s="133">
        <v>1244</v>
      </c>
      <c r="E255" s="39"/>
      <c r="F255" s="35"/>
      <c r="G255" s="40" t="s">
        <v>20</v>
      </c>
      <c r="H255" s="39"/>
      <c r="I255" s="35"/>
      <c r="J255" s="151" t="e">
        <f t="shared" ref="J255" si="54">D255*G255</f>
        <v>#VALUE!</v>
      </c>
      <c r="K255" s="54"/>
      <c r="L255" s="54"/>
      <c r="M255" s="54"/>
      <c r="N255" s="54"/>
    </row>
    <row r="256" spans="1:14" ht="28.5" customHeight="1" x14ac:dyDescent="0.25">
      <c r="A256" s="129" t="s">
        <v>505</v>
      </c>
      <c r="B256" s="130" t="s">
        <v>232</v>
      </c>
      <c r="C256" s="131" t="s">
        <v>11</v>
      </c>
      <c r="D256" s="131">
        <v>1244</v>
      </c>
      <c r="E256" s="34" t="s">
        <v>19</v>
      </c>
      <c r="F256" s="35"/>
      <c r="G256" s="36"/>
      <c r="H256" s="37" t="e">
        <f t="shared" ref="H256:H258" si="55">D256*E256</f>
        <v>#VALUE!</v>
      </c>
      <c r="I256" s="38">
        <f t="shared" ref="I256:I258" si="56">D256*F256</f>
        <v>0</v>
      </c>
      <c r="J256" s="51"/>
      <c r="K256" s="24" t="s">
        <v>30</v>
      </c>
      <c r="L256" s="54"/>
      <c r="M256" s="54"/>
      <c r="N256" s="54"/>
    </row>
    <row r="257" spans="1:14" ht="51" x14ac:dyDescent="0.25">
      <c r="A257" s="248" t="s">
        <v>506</v>
      </c>
      <c r="B257" s="137" t="s">
        <v>233</v>
      </c>
      <c r="C257" s="134" t="s">
        <v>14</v>
      </c>
      <c r="D257" s="134">
        <v>20</v>
      </c>
      <c r="E257" s="108"/>
      <c r="F257" s="102"/>
      <c r="G257" s="109" t="s">
        <v>20</v>
      </c>
      <c r="H257" s="115"/>
      <c r="I257" s="112"/>
      <c r="J257" s="160" t="e">
        <f>D257*G257</f>
        <v>#VALUE!</v>
      </c>
      <c r="K257" s="107"/>
      <c r="L257" s="55"/>
      <c r="M257" s="55"/>
      <c r="N257" s="55"/>
    </row>
    <row r="258" spans="1:14" x14ac:dyDescent="0.25">
      <c r="A258" s="135" t="s">
        <v>507</v>
      </c>
      <c r="B258" s="132" t="s">
        <v>234</v>
      </c>
      <c r="C258" s="136" t="s">
        <v>14</v>
      </c>
      <c r="D258" s="136">
        <v>20</v>
      </c>
      <c r="E258" s="101" t="s">
        <v>19</v>
      </c>
      <c r="F258" s="102"/>
      <c r="G258" s="103"/>
      <c r="H258" s="37" t="e">
        <f t="shared" si="55"/>
        <v>#VALUE!</v>
      </c>
      <c r="I258" s="38">
        <f t="shared" si="56"/>
        <v>0</v>
      </c>
      <c r="J258" s="120"/>
      <c r="K258" s="107" t="s">
        <v>30</v>
      </c>
      <c r="L258" s="55"/>
      <c r="M258" s="55"/>
      <c r="N258" s="55"/>
    </row>
    <row r="259" spans="1:14" ht="38.25" x14ac:dyDescent="0.25">
      <c r="A259" s="248" t="s">
        <v>508</v>
      </c>
      <c r="B259" s="137" t="s">
        <v>235</v>
      </c>
      <c r="C259" s="134" t="s">
        <v>14</v>
      </c>
      <c r="D259" s="134">
        <v>20</v>
      </c>
      <c r="E259" s="108"/>
      <c r="F259" s="102"/>
      <c r="G259" s="109" t="s">
        <v>20</v>
      </c>
      <c r="H259" s="115"/>
      <c r="I259" s="112"/>
      <c r="J259" s="160" t="e">
        <f>D259*G259</f>
        <v>#VALUE!</v>
      </c>
      <c r="K259" s="107"/>
      <c r="L259" s="55"/>
      <c r="M259" s="55"/>
      <c r="N259" s="55"/>
    </row>
    <row r="260" spans="1:14" ht="38.25" x14ac:dyDescent="0.25">
      <c r="A260" s="248" t="s">
        <v>509</v>
      </c>
      <c r="B260" s="137" t="s">
        <v>236</v>
      </c>
      <c r="C260" s="134" t="s">
        <v>14</v>
      </c>
      <c r="D260" s="134">
        <v>40</v>
      </c>
      <c r="E260" s="108"/>
      <c r="F260" s="102"/>
      <c r="G260" s="109" t="s">
        <v>20</v>
      </c>
      <c r="H260" s="111"/>
      <c r="I260" s="112"/>
      <c r="J260" s="160" t="e">
        <f>D260*G260</f>
        <v>#VALUE!</v>
      </c>
      <c r="K260" s="107"/>
      <c r="L260" s="55"/>
      <c r="M260" s="55"/>
      <c r="N260" s="55"/>
    </row>
    <row r="261" spans="1:14" ht="38.25" x14ac:dyDescent="0.25">
      <c r="A261" s="248" t="s">
        <v>510</v>
      </c>
      <c r="B261" s="137" t="s">
        <v>237</v>
      </c>
      <c r="C261" s="134" t="s">
        <v>14</v>
      </c>
      <c r="D261" s="134">
        <v>20</v>
      </c>
      <c r="E261" s="108"/>
      <c r="F261" s="102"/>
      <c r="G261" s="109" t="s">
        <v>20</v>
      </c>
      <c r="H261" s="111"/>
      <c r="I261" s="112"/>
      <c r="J261" s="160" t="e">
        <f>D261*G261</f>
        <v>#VALUE!</v>
      </c>
      <c r="K261" s="107"/>
      <c r="L261" s="55"/>
      <c r="M261" s="55"/>
      <c r="N261" s="55"/>
    </row>
    <row r="262" spans="1:14" ht="40.5" customHeight="1" x14ac:dyDescent="0.25">
      <c r="A262" s="248" t="s">
        <v>511</v>
      </c>
      <c r="B262" s="137" t="s">
        <v>238</v>
      </c>
      <c r="C262" s="134" t="s">
        <v>14</v>
      </c>
      <c r="D262" s="134">
        <v>16</v>
      </c>
      <c r="E262" s="108"/>
      <c r="F262" s="102"/>
      <c r="G262" s="109" t="s">
        <v>20</v>
      </c>
      <c r="H262" s="111"/>
      <c r="I262" s="112"/>
      <c r="J262" s="160" t="e">
        <f>D262*G262</f>
        <v>#VALUE!</v>
      </c>
      <c r="K262" s="107"/>
      <c r="L262" s="55"/>
      <c r="M262" s="55"/>
      <c r="N262" s="55"/>
    </row>
    <row r="263" spans="1:14" ht="15.75" thickBot="1" x14ac:dyDescent="0.3">
      <c r="A263" s="21"/>
      <c r="B263" s="71" t="s">
        <v>26</v>
      </c>
      <c r="C263" s="21"/>
      <c r="D263" s="21"/>
      <c r="E263" s="41"/>
      <c r="F263" s="42"/>
      <c r="G263" s="43"/>
      <c r="H263" s="67" t="e">
        <f>SUM(H244:H258)</f>
        <v>#VALUE!</v>
      </c>
      <c r="I263" s="67">
        <f>SUM(I244:I258)</f>
        <v>0</v>
      </c>
      <c r="J263" s="67" t="e">
        <f>SUM(J243:J262)</f>
        <v>#VALUE!</v>
      </c>
      <c r="K263" s="21"/>
      <c r="L263" s="21"/>
      <c r="M263" s="21"/>
      <c r="N263" s="21"/>
    </row>
    <row r="264" spans="1:14" ht="23.25" customHeight="1" thickBot="1" x14ac:dyDescent="0.3">
      <c r="A264" s="15"/>
      <c r="B264" s="297" t="s">
        <v>181</v>
      </c>
      <c r="C264" s="297"/>
      <c r="D264" s="297"/>
      <c r="E264" s="297"/>
      <c r="F264" s="297"/>
      <c r="G264" s="297"/>
      <c r="H264" s="297"/>
      <c r="I264" s="46"/>
      <c r="J264" s="47"/>
      <c r="K264" s="52"/>
      <c r="L264" s="26"/>
      <c r="M264" s="26"/>
      <c r="N264" s="27"/>
    </row>
    <row r="265" spans="1:14" ht="42" customHeight="1" x14ac:dyDescent="0.25">
      <c r="A265" s="19">
        <v>76</v>
      </c>
      <c r="B265" s="137" t="s">
        <v>182</v>
      </c>
      <c r="C265" s="134" t="s">
        <v>11</v>
      </c>
      <c r="D265" s="134">
        <f>D266+D267+D268+D269</f>
        <v>346</v>
      </c>
      <c r="E265" s="31"/>
      <c r="F265" s="32"/>
      <c r="G265" s="99" t="s">
        <v>20</v>
      </c>
      <c r="H265" s="31"/>
      <c r="I265" s="32"/>
      <c r="J265" s="285" t="e">
        <f>D265*G265</f>
        <v>#VALUE!</v>
      </c>
      <c r="K265" s="78"/>
      <c r="L265" s="53"/>
      <c r="M265" s="53"/>
      <c r="N265" s="53"/>
    </row>
    <row r="266" spans="1:14" x14ac:dyDescent="0.25">
      <c r="A266" s="20" t="s">
        <v>512</v>
      </c>
      <c r="B266" s="132" t="s">
        <v>183</v>
      </c>
      <c r="C266" s="136" t="s">
        <v>11</v>
      </c>
      <c r="D266" s="136">
        <v>23</v>
      </c>
      <c r="E266" s="34" t="s">
        <v>19</v>
      </c>
      <c r="F266" s="35"/>
      <c r="G266" s="36"/>
      <c r="H266" s="37" t="e">
        <f t="shared" ref="H266:H298" si="57">D266*E266</f>
        <v>#VALUE!</v>
      </c>
      <c r="I266" s="38">
        <f t="shared" ref="I266:I298" si="58">D266*F266</f>
        <v>0</v>
      </c>
      <c r="J266" s="36"/>
      <c r="K266" s="24" t="s">
        <v>30</v>
      </c>
      <c r="L266" s="54"/>
      <c r="M266" s="54"/>
      <c r="N266" s="54"/>
    </row>
    <row r="267" spans="1:14" x14ac:dyDescent="0.25">
      <c r="A267" s="129" t="s">
        <v>513</v>
      </c>
      <c r="B267" s="132" t="s">
        <v>213</v>
      </c>
      <c r="C267" s="136" t="s">
        <v>11</v>
      </c>
      <c r="D267" s="136">
        <f>108+20</f>
        <v>128</v>
      </c>
      <c r="E267" s="34" t="s">
        <v>19</v>
      </c>
      <c r="F267" s="35"/>
      <c r="G267" s="36"/>
      <c r="H267" s="37" t="e">
        <f t="shared" si="57"/>
        <v>#VALUE!</v>
      </c>
      <c r="I267" s="38">
        <f t="shared" si="58"/>
        <v>0</v>
      </c>
      <c r="J267" s="36"/>
      <c r="K267" s="24" t="s">
        <v>30</v>
      </c>
      <c r="L267" s="54"/>
      <c r="M267" s="54"/>
      <c r="N267" s="54"/>
    </row>
    <row r="268" spans="1:14" x14ac:dyDescent="0.25">
      <c r="A268" s="129" t="s">
        <v>514</v>
      </c>
      <c r="B268" s="132" t="s">
        <v>211</v>
      </c>
      <c r="C268" s="136" t="s">
        <v>11</v>
      </c>
      <c r="D268" s="136">
        <f>62+108</f>
        <v>170</v>
      </c>
      <c r="E268" s="34" t="s">
        <v>19</v>
      </c>
      <c r="F268" s="35"/>
      <c r="G268" s="36"/>
      <c r="H268" s="37" t="e">
        <f t="shared" si="57"/>
        <v>#VALUE!</v>
      </c>
      <c r="I268" s="38">
        <f t="shared" si="58"/>
        <v>0</v>
      </c>
      <c r="J268" s="36"/>
      <c r="K268" s="24" t="s">
        <v>30</v>
      </c>
      <c r="L268" s="54"/>
      <c r="M268" s="54"/>
      <c r="N268" s="54"/>
    </row>
    <row r="269" spans="1:14" x14ac:dyDescent="0.25">
      <c r="A269" s="129" t="s">
        <v>515</v>
      </c>
      <c r="B269" s="132" t="s">
        <v>184</v>
      </c>
      <c r="C269" s="136" t="s">
        <v>11</v>
      </c>
      <c r="D269" s="136">
        <v>25</v>
      </c>
      <c r="E269" s="34" t="s">
        <v>19</v>
      </c>
      <c r="F269" s="35"/>
      <c r="G269" s="36"/>
      <c r="H269" s="37" t="e">
        <f t="shared" si="57"/>
        <v>#VALUE!</v>
      </c>
      <c r="I269" s="38">
        <f t="shared" si="58"/>
        <v>0</v>
      </c>
      <c r="J269" s="36"/>
      <c r="K269" s="24" t="s">
        <v>30</v>
      </c>
      <c r="L269" s="54"/>
      <c r="M269" s="54"/>
      <c r="N269" s="54"/>
    </row>
    <row r="270" spans="1:14" ht="51" x14ac:dyDescent="0.25">
      <c r="A270" s="244" t="s">
        <v>516</v>
      </c>
      <c r="B270" s="137" t="s">
        <v>207</v>
      </c>
      <c r="C270" s="134" t="s">
        <v>11</v>
      </c>
      <c r="D270" s="134">
        <v>20</v>
      </c>
      <c r="E270" s="100"/>
      <c r="F270" s="94"/>
      <c r="G270" s="40" t="s">
        <v>20</v>
      </c>
      <c r="H270" s="100"/>
      <c r="I270" s="114"/>
      <c r="J270" s="159" t="e">
        <f>D270*G270</f>
        <v>#VALUE!</v>
      </c>
      <c r="K270" s="95"/>
      <c r="L270" s="96"/>
      <c r="M270" s="96"/>
      <c r="N270" s="96"/>
    </row>
    <row r="271" spans="1:14" x14ac:dyDescent="0.25">
      <c r="A271" s="129" t="s">
        <v>517</v>
      </c>
      <c r="B271" s="132" t="s">
        <v>540</v>
      </c>
      <c r="C271" s="136" t="s">
        <v>11</v>
      </c>
      <c r="D271" s="136">
        <v>20</v>
      </c>
      <c r="E271" s="34" t="s">
        <v>19</v>
      </c>
      <c r="F271" s="35"/>
      <c r="G271" s="36"/>
      <c r="H271" s="37" t="e">
        <f t="shared" si="57"/>
        <v>#VALUE!</v>
      </c>
      <c r="I271" s="38">
        <f t="shared" si="58"/>
        <v>0</v>
      </c>
      <c r="J271" s="36"/>
      <c r="K271" s="24" t="s">
        <v>30</v>
      </c>
      <c r="L271" s="54"/>
      <c r="M271" s="54"/>
      <c r="N271" s="54"/>
    </row>
    <row r="272" spans="1:14" ht="63.75" x14ac:dyDescent="0.25">
      <c r="A272" s="244" t="s">
        <v>518</v>
      </c>
      <c r="B272" s="245" t="s">
        <v>245</v>
      </c>
      <c r="C272" s="133" t="s">
        <v>11</v>
      </c>
      <c r="D272" s="134">
        <v>20</v>
      </c>
      <c r="E272" s="100"/>
      <c r="F272" s="94"/>
      <c r="G272" s="40" t="s">
        <v>20</v>
      </c>
      <c r="H272" s="100"/>
      <c r="I272" s="114"/>
      <c r="J272" s="159" t="e">
        <f>D272*G272</f>
        <v>#VALUE!</v>
      </c>
      <c r="K272" s="95"/>
      <c r="L272" s="96"/>
      <c r="M272" s="96"/>
      <c r="N272" s="96"/>
    </row>
    <row r="273" spans="1:14" x14ac:dyDescent="0.25">
      <c r="A273" s="129" t="s">
        <v>519</v>
      </c>
      <c r="B273" s="130" t="s">
        <v>247</v>
      </c>
      <c r="C273" s="131" t="s">
        <v>11</v>
      </c>
      <c r="D273" s="136">
        <v>20</v>
      </c>
      <c r="E273" s="34" t="s">
        <v>19</v>
      </c>
      <c r="F273" s="35"/>
      <c r="G273" s="36"/>
      <c r="H273" s="37" t="e">
        <f>D273*E273</f>
        <v>#VALUE!</v>
      </c>
      <c r="I273" s="38" t="e">
        <f>D273*E273</f>
        <v>#VALUE!</v>
      </c>
      <c r="J273" s="36"/>
      <c r="K273" s="24" t="s">
        <v>30</v>
      </c>
      <c r="L273" s="54"/>
      <c r="M273" s="54"/>
      <c r="N273" s="54"/>
    </row>
    <row r="274" spans="1:14" ht="26.25" customHeight="1" x14ac:dyDescent="0.25">
      <c r="A274" s="244" t="s">
        <v>520</v>
      </c>
      <c r="B274" s="137" t="s">
        <v>185</v>
      </c>
      <c r="C274" s="134" t="s">
        <v>11</v>
      </c>
      <c r="D274" s="134">
        <v>25</v>
      </c>
      <c r="E274" s="100"/>
      <c r="F274" s="35"/>
      <c r="G274" s="99" t="s">
        <v>20</v>
      </c>
      <c r="H274" s="111"/>
      <c r="I274" s="112"/>
      <c r="J274" s="159" t="e">
        <f>D274*G274</f>
        <v>#VALUE!</v>
      </c>
      <c r="K274" s="24"/>
      <c r="L274" s="54"/>
      <c r="M274" s="54"/>
      <c r="N274" s="54"/>
    </row>
    <row r="275" spans="1:14" x14ac:dyDescent="0.25">
      <c r="A275" s="129" t="s">
        <v>521</v>
      </c>
      <c r="B275" s="132" t="s">
        <v>186</v>
      </c>
      <c r="C275" s="136" t="s">
        <v>11</v>
      </c>
      <c r="D275" s="136">
        <v>25</v>
      </c>
      <c r="E275" s="34" t="s">
        <v>19</v>
      </c>
      <c r="F275" s="35"/>
      <c r="G275" s="36"/>
      <c r="H275" s="37" t="e">
        <f t="shared" si="57"/>
        <v>#VALUE!</v>
      </c>
      <c r="I275" s="38">
        <f t="shared" si="58"/>
        <v>0</v>
      </c>
      <c r="J275" s="36"/>
      <c r="K275" s="24" t="s">
        <v>30</v>
      </c>
      <c r="L275" s="54"/>
      <c r="M275" s="54"/>
      <c r="N275" s="54"/>
    </row>
    <row r="276" spans="1:14" ht="25.5" x14ac:dyDescent="0.25">
      <c r="A276" s="244" t="s">
        <v>522</v>
      </c>
      <c r="B276" s="137" t="s">
        <v>187</v>
      </c>
      <c r="C276" s="134" t="s">
        <v>11</v>
      </c>
      <c r="D276" s="134">
        <v>138</v>
      </c>
      <c r="E276" s="100"/>
      <c r="F276" s="35"/>
      <c r="G276" s="40" t="s">
        <v>20</v>
      </c>
      <c r="H276" s="111"/>
      <c r="I276" s="112"/>
      <c r="J276" s="159" t="e">
        <f t="shared" ref="J276:J290" si="59">D276*G276</f>
        <v>#VALUE!</v>
      </c>
      <c r="K276" s="24"/>
      <c r="L276" s="54"/>
      <c r="M276" s="54"/>
      <c r="N276" s="54"/>
    </row>
    <row r="277" spans="1:14" x14ac:dyDescent="0.25">
      <c r="A277" s="129" t="s">
        <v>523</v>
      </c>
      <c r="B277" s="132" t="s">
        <v>188</v>
      </c>
      <c r="C277" s="136" t="s">
        <v>11</v>
      </c>
      <c r="D277" s="136">
        <v>30</v>
      </c>
      <c r="E277" s="34" t="s">
        <v>19</v>
      </c>
      <c r="F277" s="35"/>
      <c r="G277" s="65"/>
      <c r="H277" s="37" t="e">
        <f t="shared" si="57"/>
        <v>#VALUE!</v>
      </c>
      <c r="I277" s="38">
        <f t="shared" si="58"/>
        <v>0</v>
      </c>
      <c r="J277" s="98"/>
      <c r="K277" s="24" t="s">
        <v>30</v>
      </c>
      <c r="L277" s="54"/>
      <c r="M277" s="54"/>
      <c r="N277" s="54"/>
    </row>
    <row r="278" spans="1:14" x14ac:dyDescent="0.25">
      <c r="A278" s="129" t="s">
        <v>552</v>
      </c>
      <c r="B278" s="132" t="s">
        <v>214</v>
      </c>
      <c r="C278" s="136" t="s">
        <v>11</v>
      </c>
      <c r="D278" s="136">
        <f>108+20</f>
        <v>128</v>
      </c>
      <c r="E278" s="34" t="s">
        <v>19</v>
      </c>
      <c r="F278" s="35"/>
      <c r="G278" s="65"/>
      <c r="H278" s="37" t="e">
        <f t="shared" si="57"/>
        <v>#VALUE!</v>
      </c>
      <c r="I278" s="38">
        <f t="shared" si="58"/>
        <v>0</v>
      </c>
      <c r="J278" s="98"/>
      <c r="K278" s="24" t="s">
        <v>30</v>
      </c>
      <c r="L278" s="54"/>
      <c r="M278" s="54"/>
      <c r="N278" s="54"/>
    </row>
    <row r="279" spans="1:14" ht="57.75" customHeight="1" x14ac:dyDescent="0.25">
      <c r="A279" s="244" t="s">
        <v>524</v>
      </c>
      <c r="B279" s="137" t="s">
        <v>189</v>
      </c>
      <c r="C279" s="134" t="s">
        <v>14</v>
      </c>
      <c r="D279" s="134">
        <f>D280+D281+D282+D283</f>
        <v>4</v>
      </c>
      <c r="E279" s="100"/>
      <c r="F279" s="35"/>
      <c r="G279" s="40" t="s">
        <v>20</v>
      </c>
      <c r="H279" s="111"/>
      <c r="I279" s="112"/>
      <c r="J279" s="159" t="e">
        <f t="shared" si="59"/>
        <v>#VALUE!</v>
      </c>
      <c r="K279" s="24"/>
      <c r="L279" s="54"/>
      <c r="M279" s="54"/>
      <c r="N279" s="54"/>
    </row>
    <row r="280" spans="1:14" x14ac:dyDescent="0.25">
      <c r="A280" s="129" t="s">
        <v>525</v>
      </c>
      <c r="B280" s="132" t="s">
        <v>541</v>
      </c>
      <c r="C280" s="136" t="s">
        <v>14</v>
      </c>
      <c r="D280" s="136">
        <v>1</v>
      </c>
      <c r="E280" s="34" t="s">
        <v>19</v>
      </c>
      <c r="F280" s="35"/>
      <c r="G280" s="65"/>
      <c r="H280" s="37" t="e">
        <f t="shared" si="57"/>
        <v>#VALUE!</v>
      </c>
      <c r="I280" s="38">
        <f t="shared" si="58"/>
        <v>0</v>
      </c>
      <c r="J280" s="98"/>
      <c r="K280" s="24" t="s">
        <v>30</v>
      </c>
      <c r="L280" s="54"/>
      <c r="M280" s="54"/>
      <c r="N280" s="54"/>
    </row>
    <row r="281" spans="1:14" x14ac:dyDescent="0.25">
      <c r="A281" s="129" t="s">
        <v>545</v>
      </c>
      <c r="B281" s="132" t="s">
        <v>542</v>
      </c>
      <c r="C281" s="136"/>
      <c r="D281" s="136">
        <v>1</v>
      </c>
      <c r="E281" s="34" t="s">
        <v>19</v>
      </c>
      <c r="F281" s="35"/>
      <c r="G281" s="65"/>
      <c r="H281" s="37" t="e">
        <f t="shared" si="57"/>
        <v>#VALUE!</v>
      </c>
      <c r="I281" s="38">
        <f t="shared" si="58"/>
        <v>0</v>
      </c>
      <c r="J281" s="98"/>
      <c r="K281" s="24" t="s">
        <v>30</v>
      </c>
      <c r="L281" s="54"/>
      <c r="M281" s="54"/>
      <c r="N281" s="54"/>
    </row>
    <row r="282" spans="1:14" x14ac:dyDescent="0.25">
      <c r="A282" s="129" t="s">
        <v>546</v>
      </c>
      <c r="B282" s="132" t="s">
        <v>543</v>
      </c>
      <c r="C282" s="136"/>
      <c r="D282" s="136">
        <v>1</v>
      </c>
      <c r="E282" s="34" t="s">
        <v>19</v>
      </c>
      <c r="F282" s="35"/>
      <c r="G282" s="65"/>
      <c r="H282" s="37" t="e">
        <f t="shared" si="57"/>
        <v>#VALUE!</v>
      </c>
      <c r="I282" s="38">
        <f t="shared" si="58"/>
        <v>0</v>
      </c>
      <c r="J282" s="98"/>
      <c r="K282" s="24" t="s">
        <v>30</v>
      </c>
      <c r="L282" s="54"/>
      <c r="M282" s="54"/>
      <c r="N282" s="54"/>
    </row>
    <row r="283" spans="1:14" x14ac:dyDescent="0.25">
      <c r="A283" s="129" t="s">
        <v>547</v>
      </c>
      <c r="B283" s="132" t="s">
        <v>544</v>
      </c>
      <c r="C283" s="136" t="s">
        <v>14</v>
      </c>
      <c r="D283" s="136">
        <v>1</v>
      </c>
      <c r="E283" s="34" t="s">
        <v>19</v>
      </c>
      <c r="F283" s="35"/>
      <c r="G283" s="65"/>
      <c r="H283" s="37" t="e">
        <f t="shared" si="57"/>
        <v>#VALUE!</v>
      </c>
      <c r="I283" s="38">
        <f t="shared" si="58"/>
        <v>0</v>
      </c>
      <c r="J283" s="98"/>
      <c r="K283" s="24" t="s">
        <v>30</v>
      </c>
      <c r="L283" s="54"/>
      <c r="M283" s="54"/>
      <c r="N283" s="54"/>
    </row>
    <row r="284" spans="1:14" ht="25.5" x14ac:dyDescent="0.25">
      <c r="A284" s="244" t="s">
        <v>526</v>
      </c>
      <c r="B284" s="137" t="s">
        <v>171</v>
      </c>
      <c r="C284" s="133" t="s">
        <v>11</v>
      </c>
      <c r="D284" s="133">
        <f>D285</f>
        <v>168</v>
      </c>
      <c r="E284" s="100"/>
      <c r="F284" s="35"/>
      <c r="G284" s="40" t="s">
        <v>20</v>
      </c>
      <c r="H284" s="111"/>
      <c r="I284" s="112"/>
      <c r="J284" s="159" t="e">
        <f t="shared" si="59"/>
        <v>#VALUE!</v>
      </c>
      <c r="K284" s="24"/>
      <c r="L284" s="54"/>
      <c r="M284" s="54"/>
      <c r="N284" s="54"/>
    </row>
    <row r="285" spans="1:14" x14ac:dyDescent="0.25">
      <c r="A285" s="129" t="s">
        <v>527</v>
      </c>
      <c r="B285" s="130" t="s">
        <v>212</v>
      </c>
      <c r="C285" s="131" t="s">
        <v>11</v>
      </c>
      <c r="D285" s="131">
        <f>60+108</f>
        <v>168</v>
      </c>
      <c r="E285" s="34" t="s">
        <v>19</v>
      </c>
      <c r="F285" s="35"/>
      <c r="G285" s="65"/>
      <c r="H285" s="37" t="e">
        <f t="shared" si="57"/>
        <v>#VALUE!</v>
      </c>
      <c r="I285" s="38">
        <f t="shared" si="58"/>
        <v>0</v>
      </c>
      <c r="J285" s="98"/>
      <c r="K285" s="24" t="s">
        <v>30</v>
      </c>
      <c r="L285" s="54"/>
      <c r="M285" s="54"/>
      <c r="N285" s="54"/>
    </row>
    <row r="286" spans="1:14" ht="25.5" x14ac:dyDescent="0.25">
      <c r="A286" s="244" t="s">
        <v>528</v>
      </c>
      <c r="B286" s="245" t="s">
        <v>550</v>
      </c>
      <c r="C286" s="133" t="s">
        <v>11</v>
      </c>
      <c r="D286" s="133">
        <f>D289</f>
        <v>462</v>
      </c>
      <c r="E286" s="100"/>
      <c r="F286" s="35"/>
      <c r="G286" s="40" t="s">
        <v>20</v>
      </c>
      <c r="H286" s="111"/>
      <c r="I286" s="112"/>
      <c r="J286" s="159" t="e">
        <f t="shared" si="59"/>
        <v>#VALUE!</v>
      </c>
      <c r="K286" s="24"/>
      <c r="L286" s="54"/>
      <c r="M286" s="54"/>
      <c r="N286" s="54"/>
    </row>
    <row r="287" spans="1:14" x14ac:dyDescent="0.25">
      <c r="A287" s="129" t="s">
        <v>529</v>
      </c>
      <c r="B287" s="130" t="s">
        <v>549</v>
      </c>
      <c r="C287" s="131" t="s">
        <v>11</v>
      </c>
      <c r="D287" s="131">
        <v>53</v>
      </c>
      <c r="E287" s="122" t="s">
        <v>19</v>
      </c>
      <c r="F287" s="35"/>
      <c r="G287" s="98"/>
      <c r="H287" s="37" t="e">
        <f>D287*E287</f>
        <v>#VALUE!</v>
      </c>
      <c r="I287" s="38">
        <f>D287*F287</f>
        <v>0</v>
      </c>
      <c r="J287" s="98"/>
      <c r="K287" s="24" t="s">
        <v>30</v>
      </c>
      <c r="L287" s="54"/>
      <c r="M287" s="54"/>
      <c r="N287" s="54"/>
    </row>
    <row r="288" spans="1:14" x14ac:dyDescent="0.25">
      <c r="A288" s="129" t="s">
        <v>553</v>
      </c>
      <c r="B288" s="130" t="s">
        <v>215</v>
      </c>
      <c r="C288" s="131" t="s">
        <v>11</v>
      </c>
      <c r="D288" s="131">
        <f>128+281</f>
        <v>409</v>
      </c>
      <c r="E288" s="34" t="s">
        <v>19</v>
      </c>
      <c r="F288" s="35"/>
      <c r="G288" s="65"/>
      <c r="H288" s="37" t="e">
        <f>D288*E288</f>
        <v>#VALUE!</v>
      </c>
      <c r="I288" s="38">
        <f>D288*F288</f>
        <v>0</v>
      </c>
      <c r="J288" s="98"/>
      <c r="K288" s="24" t="s">
        <v>30</v>
      </c>
      <c r="L288" s="54"/>
      <c r="M288" s="54"/>
      <c r="N288" s="54"/>
    </row>
    <row r="289" spans="1:14" x14ac:dyDescent="0.25">
      <c r="A289" s="129" t="s">
        <v>554</v>
      </c>
      <c r="B289" s="130" t="s">
        <v>551</v>
      </c>
      <c r="C289" s="131" t="s">
        <v>11</v>
      </c>
      <c r="D289" s="131">
        <v>462</v>
      </c>
      <c r="E289" s="34" t="s">
        <v>19</v>
      </c>
      <c r="F289" s="35"/>
      <c r="G289" s="65"/>
      <c r="H289" s="37" t="e">
        <f t="shared" si="57"/>
        <v>#VALUE!</v>
      </c>
      <c r="I289" s="38">
        <f t="shared" si="58"/>
        <v>0</v>
      </c>
      <c r="J289" s="98"/>
      <c r="K289" s="24" t="s">
        <v>30</v>
      </c>
      <c r="L289" s="54"/>
      <c r="M289" s="54"/>
      <c r="N289" s="54"/>
    </row>
    <row r="290" spans="1:14" ht="25.5" x14ac:dyDescent="0.25">
      <c r="A290" s="244" t="s">
        <v>530</v>
      </c>
      <c r="B290" s="245" t="s">
        <v>548</v>
      </c>
      <c r="C290" s="133" t="s">
        <v>11</v>
      </c>
      <c r="D290" s="133">
        <v>30</v>
      </c>
      <c r="E290" s="100"/>
      <c r="F290" s="35"/>
      <c r="G290" s="40" t="s">
        <v>20</v>
      </c>
      <c r="H290" s="111"/>
      <c r="I290" s="112"/>
      <c r="J290" s="159" t="e">
        <f t="shared" si="59"/>
        <v>#VALUE!</v>
      </c>
      <c r="K290" s="24"/>
      <c r="L290" s="54"/>
      <c r="M290" s="54"/>
      <c r="N290" s="54"/>
    </row>
    <row r="291" spans="1:14" x14ac:dyDescent="0.25">
      <c r="A291" s="129" t="s">
        <v>531</v>
      </c>
      <c r="B291" s="130" t="s">
        <v>216</v>
      </c>
      <c r="C291" s="131" t="s">
        <v>11</v>
      </c>
      <c r="D291" s="131">
        <v>30</v>
      </c>
      <c r="E291" s="34" t="s">
        <v>19</v>
      </c>
      <c r="F291" s="35"/>
      <c r="G291" s="65"/>
      <c r="H291" s="37" t="e">
        <f t="shared" si="57"/>
        <v>#VALUE!</v>
      </c>
      <c r="I291" s="38">
        <f t="shared" si="58"/>
        <v>0</v>
      </c>
      <c r="J291" s="98"/>
      <c r="K291" s="24" t="s">
        <v>30</v>
      </c>
      <c r="L291" s="54"/>
      <c r="M291" s="54"/>
      <c r="N291" s="54"/>
    </row>
    <row r="292" spans="1:14" ht="16.5" customHeight="1" x14ac:dyDescent="0.25">
      <c r="A292" s="129" t="s">
        <v>532</v>
      </c>
      <c r="B292" s="130" t="s">
        <v>551</v>
      </c>
      <c r="C292" s="131" t="s">
        <v>11</v>
      </c>
      <c r="D292" s="131">
        <v>30</v>
      </c>
      <c r="E292" s="34" t="s">
        <v>19</v>
      </c>
      <c r="F292" s="35"/>
      <c r="G292" s="36"/>
      <c r="H292" s="37" t="e">
        <f t="shared" si="57"/>
        <v>#VALUE!</v>
      </c>
      <c r="I292" s="38">
        <f t="shared" si="58"/>
        <v>0</v>
      </c>
      <c r="J292" s="36"/>
      <c r="K292" s="24" t="s">
        <v>30</v>
      </c>
      <c r="L292" s="54"/>
      <c r="M292" s="54"/>
      <c r="N292" s="54"/>
    </row>
    <row r="293" spans="1:14" ht="27" customHeight="1" x14ac:dyDescent="0.25">
      <c r="A293" s="244" t="s">
        <v>555</v>
      </c>
      <c r="B293" s="245" t="s">
        <v>118</v>
      </c>
      <c r="C293" s="133" t="s">
        <v>14</v>
      </c>
      <c r="D293" s="133">
        <v>8</v>
      </c>
      <c r="E293" s="100"/>
      <c r="F293" s="94"/>
      <c r="G293" s="40" t="s">
        <v>20</v>
      </c>
      <c r="H293" s="100"/>
      <c r="I293" s="114"/>
      <c r="J293" s="159" t="e">
        <f t="shared" ref="J293:J295" si="60">D293*G293</f>
        <v>#VALUE!</v>
      </c>
      <c r="K293" s="24"/>
      <c r="L293" s="54"/>
      <c r="M293" s="54"/>
      <c r="N293" s="54"/>
    </row>
    <row r="294" spans="1:14" ht="36" customHeight="1" x14ac:dyDescent="0.25">
      <c r="A294" s="129" t="s">
        <v>556</v>
      </c>
      <c r="B294" s="130" t="s">
        <v>217</v>
      </c>
      <c r="C294" s="131" t="s">
        <v>14</v>
      </c>
      <c r="D294" s="131">
        <v>8</v>
      </c>
      <c r="E294" s="34" t="s">
        <v>19</v>
      </c>
      <c r="F294" s="35"/>
      <c r="G294" s="65"/>
      <c r="H294" s="37" t="e">
        <f t="shared" si="57"/>
        <v>#VALUE!</v>
      </c>
      <c r="I294" s="38">
        <f t="shared" si="58"/>
        <v>0</v>
      </c>
      <c r="J294" s="98"/>
      <c r="K294" s="24" t="s">
        <v>30</v>
      </c>
      <c r="L294" s="54"/>
      <c r="M294" s="54"/>
      <c r="N294" s="54"/>
    </row>
    <row r="295" spans="1:14" x14ac:dyDescent="0.25">
      <c r="A295" s="244" t="s">
        <v>557</v>
      </c>
      <c r="B295" s="245" t="s">
        <v>218</v>
      </c>
      <c r="C295" s="133" t="s">
        <v>14</v>
      </c>
      <c r="D295" s="133">
        <v>24</v>
      </c>
      <c r="E295" s="100"/>
      <c r="F295" s="35"/>
      <c r="G295" s="40" t="s">
        <v>20</v>
      </c>
      <c r="H295" s="111"/>
      <c r="I295" s="112"/>
      <c r="J295" s="159" t="e">
        <f t="shared" si="60"/>
        <v>#VALUE!</v>
      </c>
      <c r="K295" s="24"/>
      <c r="L295" s="54"/>
      <c r="M295" s="54"/>
      <c r="N295" s="54"/>
    </row>
    <row r="296" spans="1:14" x14ac:dyDescent="0.25">
      <c r="A296" s="129" t="s">
        <v>558</v>
      </c>
      <c r="B296" s="130" t="s">
        <v>111</v>
      </c>
      <c r="C296" s="131" t="s">
        <v>14</v>
      </c>
      <c r="D296" s="131">
        <v>6</v>
      </c>
      <c r="E296" s="34" t="s">
        <v>19</v>
      </c>
      <c r="F296" s="35"/>
      <c r="G296" s="65"/>
      <c r="H296" s="37" t="e">
        <f>D296*E296</f>
        <v>#VALUE!</v>
      </c>
      <c r="I296" s="38">
        <f>D296*F296</f>
        <v>0</v>
      </c>
      <c r="J296" s="98"/>
      <c r="K296" s="24" t="s">
        <v>30</v>
      </c>
      <c r="L296" s="54"/>
      <c r="M296" s="54"/>
      <c r="N296" s="54"/>
    </row>
    <row r="297" spans="1:14" x14ac:dyDescent="0.25">
      <c r="A297" s="129" t="s">
        <v>559</v>
      </c>
      <c r="B297" s="130" t="s">
        <v>219</v>
      </c>
      <c r="C297" s="131" t="s">
        <v>14</v>
      </c>
      <c r="D297" s="131">
        <v>6</v>
      </c>
      <c r="E297" s="34" t="s">
        <v>19</v>
      </c>
      <c r="F297" s="35"/>
      <c r="G297" s="65"/>
      <c r="H297" s="37" t="e">
        <f>D297*E297</f>
        <v>#VALUE!</v>
      </c>
      <c r="I297" s="38">
        <f>D297*F297</f>
        <v>0</v>
      </c>
      <c r="J297" s="98"/>
      <c r="K297" s="24" t="s">
        <v>30</v>
      </c>
      <c r="L297" s="54"/>
      <c r="M297" s="54"/>
      <c r="N297" s="54"/>
    </row>
    <row r="298" spans="1:14" x14ac:dyDescent="0.25">
      <c r="A298" s="129" t="s">
        <v>560</v>
      </c>
      <c r="B298" s="130" t="s">
        <v>220</v>
      </c>
      <c r="C298" s="131" t="s">
        <v>14</v>
      </c>
      <c r="D298" s="131">
        <v>12</v>
      </c>
      <c r="E298" s="34" t="s">
        <v>19</v>
      </c>
      <c r="F298" s="35"/>
      <c r="G298" s="36"/>
      <c r="H298" s="37" t="e">
        <f t="shared" si="57"/>
        <v>#VALUE!</v>
      </c>
      <c r="I298" s="38">
        <f t="shared" si="58"/>
        <v>0</v>
      </c>
      <c r="J298" s="36"/>
      <c r="K298" s="24" t="s">
        <v>30</v>
      </c>
      <c r="L298" s="54"/>
      <c r="M298" s="54"/>
      <c r="N298" s="54"/>
    </row>
    <row r="299" spans="1:14" ht="15.75" thickBot="1" x14ac:dyDescent="0.3">
      <c r="A299" s="21"/>
      <c r="B299" s="71" t="s">
        <v>26</v>
      </c>
      <c r="C299" s="21"/>
      <c r="D299" s="21"/>
      <c r="E299" s="41"/>
      <c r="F299" s="42"/>
      <c r="G299" s="43"/>
      <c r="H299" s="68" t="e">
        <f>SUM(H264:H298)</f>
        <v>#VALUE!</v>
      </c>
      <c r="I299" s="68" t="e">
        <f>SUM(I264:I298)</f>
        <v>#VALUE!</v>
      </c>
      <c r="J299" s="80" t="e">
        <f>SUM(J265:J295)</f>
        <v>#VALUE!</v>
      </c>
      <c r="K299" s="22"/>
      <c r="L299" s="55"/>
      <c r="M299" s="55"/>
      <c r="N299" s="55"/>
    </row>
    <row r="300" spans="1:14" ht="23.25" customHeight="1" thickBot="1" x14ac:dyDescent="0.3">
      <c r="A300" s="52"/>
      <c r="B300" s="297" t="s">
        <v>368</v>
      </c>
      <c r="C300" s="297"/>
      <c r="D300" s="297"/>
      <c r="E300" s="297"/>
      <c r="F300" s="297"/>
      <c r="G300" s="297"/>
      <c r="H300" s="297"/>
      <c r="I300" s="48"/>
      <c r="J300" s="49"/>
      <c r="K300" s="52"/>
      <c r="L300" s="26"/>
      <c r="M300" s="26"/>
      <c r="N300" s="27"/>
    </row>
    <row r="301" spans="1:14" ht="15.75" thickBot="1" x14ac:dyDescent="0.3">
      <c r="A301" s="19">
        <v>87</v>
      </c>
      <c r="B301" s="137" t="s">
        <v>569</v>
      </c>
      <c r="C301" s="134"/>
      <c r="D301" s="134"/>
      <c r="E301" s="31"/>
      <c r="F301" s="32"/>
      <c r="G301" s="238"/>
      <c r="H301" s="31"/>
      <c r="I301" s="32"/>
      <c r="J301" s="239"/>
      <c r="K301" s="81"/>
      <c r="L301" s="53"/>
      <c r="M301" s="53"/>
      <c r="N301" s="53"/>
    </row>
    <row r="302" spans="1:14" ht="14.25" customHeight="1" thickBot="1" x14ac:dyDescent="0.3">
      <c r="A302" s="23" t="s">
        <v>567</v>
      </c>
      <c r="B302" s="132" t="s">
        <v>570</v>
      </c>
      <c r="C302" s="136" t="s">
        <v>27</v>
      </c>
      <c r="D302" s="136">
        <v>1</v>
      </c>
      <c r="E302" s="111"/>
      <c r="F302" s="35"/>
      <c r="G302" s="40" t="s">
        <v>20</v>
      </c>
      <c r="H302" s="111"/>
      <c r="I302" s="112"/>
      <c r="J302" s="79" t="e">
        <f>D302*G302</f>
        <v>#VALUE!</v>
      </c>
      <c r="K302" s="88"/>
      <c r="L302" s="66"/>
      <c r="M302" s="66"/>
      <c r="N302" s="66"/>
    </row>
    <row r="303" spans="1:14" ht="14.25" customHeight="1" thickBot="1" x14ac:dyDescent="0.3">
      <c r="A303" s="119" t="s">
        <v>568</v>
      </c>
      <c r="B303" s="132" t="s">
        <v>571</v>
      </c>
      <c r="C303" s="136" t="s">
        <v>27</v>
      </c>
      <c r="D303" s="136">
        <v>1</v>
      </c>
      <c r="E303" s="123"/>
      <c r="F303" s="102"/>
      <c r="G303" s="124" t="s">
        <v>20</v>
      </c>
      <c r="H303" s="115"/>
      <c r="I303" s="121"/>
      <c r="J303" s="79" t="e">
        <f t="shared" ref="J303" si="61">D303*G303</f>
        <v>#VALUE!</v>
      </c>
      <c r="K303" s="125"/>
      <c r="L303" s="26"/>
      <c r="M303" s="26"/>
      <c r="N303" s="27"/>
    </row>
    <row r="304" spans="1:14" ht="15" customHeight="1" thickBot="1" x14ac:dyDescent="0.3">
      <c r="A304" s="82"/>
      <c r="B304" s="71" t="s">
        <v>26</v>
      </c>
      <c r="C304" s="83"/>
      <c r="D304" s="25"/>
      <c r="E304" s="41"/>
      <c r="F304" s="42"/>
      <c r="G304" s="43"/>
      <c r="H304" s="240"/>
      <c r="I304" s="240"/>
      <c r="J304" s="68" t="e">
        <f>SUM(J302:J303)</f>
        <v>#VALUE!</v>
      </c>
      <c r="K304" s="26"/>
      <c r="L304" s="26"/>
      <c r="M304" s="26"/>
      <c r="N304" s="27"/>
    </row>
    <row r="305" spans="1:14" ht="18.75" customHeight="1" thickBot="1" x14ac:dyDescent="0.3">
      <c r="A305" s="84"/>
      <c r="B305" s="85"/>
      <c r="C305" s="84"/>
      <c r="D305" s="84"/>
      <c r="E305" s="86"/>
      <c r="F305" s="86"/>
      <c r="G305" s="86"/>
      <c r="H305" s="86"/>
      <c r="I305" s="86"/>
      <c r="J305" s="86"/>
      <c r="K305" s="87"/>
      <c r="L305" s="87"/>
      <c r="M305" s="87"/>
      <c r="N305" s="87"/>
    </row>
    <row r="306" spans="1:14" ht="21" thickBot="1" x14ac:dyDescent="0.3">
      <c r="B306" s="90" t="s">
        <v>28</v>
      </c>
      <c r="E306" s="50"/>
      <c r="F306" s="50"/>
      <c r="G306" s="50"/>
      <c r="H306" s="89" t="e">
        <f>H299+H263+H241+H201+H165+H148+H102+H79</f>
        <v>#VALUE!</v>
      </c>
      <c r="I306" s="89" t="e">
        <f>I299+I263+I241+I201+I165+I148+I102+I79</f>
        <v>#VALUE!</v>
      </c>
      <c r="J306" s="89" t="e">
        <f>J304+J299+J263+J241+J201+J165+J148+J102+J79</f>
        <v>#VALUE!</v>
      </c>
    </row>
    <row r="308" spans="1:14" x14ac:dyDescent="0.25">
      <c r="B308" s="2" t="s">
        <v>55</v>
      </c>
    </row>
    <row r="309" spans="1:14" x14ac:dyDescent="0.25">
      <c r="B309" s="128"/>
      <c r="J309" s="86"/>
    </row>
    <row r="310" spans="1:14" x14ac:dyDescent="0.25">
      <c r="B310" s="128"/>
      <c r="J310" s="86"/>
    </row>
    <row r="311" spans="1:14" s="92" customFormat="1" ht="15.75" x14ac:dyDescent="0.25">
      <c r="A311" s="91" t="s">
        <v>31</v>
      </c>
      <c r="E311" s="93"/>
      <c r="F311" s="93"/>
      <c r="G311" s="93"/>
      <c r="H311" s="93"/>
      <c r="I311" s="93"/>
      <c r="J311" s="93"/>
    </row>
    <row r="312" spans="1:14" s="92" customFormat="1" ht="15.75" x14ac:dyDescent="0.25">
      <c r="A312" s="91"/>
      <c r="E312" s="93"/>
      <c r="F312" s="93"/>
      <c r="G312" s="93"/>
      <c r="H312" s="93"/>
      <c r="I312" s="93"/>
      <c r="J312" s="93"/>
    </row>
    <row r="313" spans="1:14" s="92" customFormat="1" ht="15.75" x14ac:dyDescent="0.25">
      <c r="A313" s="91" t="s">
        <v>32</v>
      </c>
      <c r="E313" s="93"/>
      <c r="F313" s="93"/>
      <c r="G313" s="93"/>
      <c r="H313" s="93"/>
      <c r="I313" s="93"/>
      <c r="J313" s="93"/>
    </row>
    <row r="314" spans="1:14" s="92" customFormat="1" ht="15.75" x14ac:dyDescent="0.25">
      <c r="A314" s="91"/>
      <c r="E314" s="93"/>
      <c r="F314" s="93"/>
      <c r="G314" s="93"/>
      <c r="H314" s="93"/>
      <c r="I314" s="93"/>
      <c r="J314" s="93"/>
    </row>
    <row r="315" spans="1:14" s="92" customFormat="1" ht="15.75" x14ac:dyDescent="0.25">
      <c r="A315" s="91" t="s">
        <v>369</v>
      </c>
      <c r="E315" s="93"/>
      <c r="F315" s="93"/>
      <c r="G315" s="93"/>
      <c r="H315" s="93"/>
      <c r="I315" s="93"/>
      <c r="J315" s="93"/>
    </row>
  </sheetData>
  <mergeCells count="21">
    <mergeCell ref="B20:E20"/>
    <mergeCell ref="B103:F103"/>
    <mergeCell ref="B242:F242"/>
    <mergeCell ref="B264:H264"/>
    <mergeCell ref="B300:H300"/>
    <mergeCell ref="A80:G80"/>
    <mergeCell ref="B166:I166"/>
    <mergeCell ref="A202:G202"/>
    <mergeCell ref="B149:G149"/>
    <mergeCell ref="I1:N1"/>
    <mergeCell ref="A3:N3"/>
    <mergeCell ref="A5:A6"/>
    <mergeCell ref="B5:B6"/>
    <mergeCell ref="C5:C6"/>
    <mergeCell ref="D5:D6"/>
    <mergeCell ref="E5:G5"/>
    <mergeCell ref="H5:J5"/>
    <mergeCell ref="K5:K6"/>
    <mergeCell ref="L5:L6"/>
    <mergeCell ref="M5:M6"/>
    <mergeCell ref="N5:N6"/>
  </mergeCells>
  <printOptions horizontalCentered="1"/>
  <pageMargins left="0.31496062992125984" right="0.31496062992125984" top="0.35433070866141736" bottom="0.35433070866141736" header="0" footer="0"/>
  <pageSetup paperSize="8" scale="70" orientation="landscape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D35" sqref="D35"/>
    </sheetView>
  </sheetViews>
  <sheetFormatPr defaultRowHeight="15" x14ac:dyDescent="0.25"/>
  <cols>
    <col min="1" max="1" width="24.7109375" customWidth="1"/>
    <col min="12" max="12" width="13" customWidth="1"/>
    <col min="13" max="13" width="14.28515625" customWidth="1"/>
  </cols>
  <sheetData>
    <row r="1" spans="1:13" x14ac:dyDescent="0.25">
      <c r="A1" t="s">
        <v>294</v>
      </c>
    </row>
    <row r="3" spans="1:13" x14ac:dyDescent="0.25">
      <c r="C3" s="312" t="s">
        <v>297</v>
      </c>
      <c r="E3" s="313" t="s">
        <v>300</v>
      </c>
      <c r="F3" s="314" t="s">
        <v>301</v>
      </c>
      <c r="G3" s="315" t="s">
        <v>302</v>
      </c>
      <c r="H3" s="311" t="s">
        <v>303</v>
      </c>
      <c r="I3" s="311" t="s">
        <v>304</v>
      </c>
    </row>
    <row r="4" spans="1:13" ht="33.75" customHeight="1" x14ac:dyDescent="0.25">
      <c r="A4" t="s">
        <v>295</v>
      </c>
      <c r="B4" t="s">
        <v>298</v>
      </c>
      <c r="C4" s="312"/>
      <c r="D4" t="s">
        <v>299</v>
      </c>
      <c r="E4" s="313"/>
      <c r="F4" s="314"/>
      <c r="G4" s="315"/>
      <c r="H4" s="311"/>
      <c r="I4" s="311"/>
    </row>
    <row r="5" spans="1:13" x14ac:dyDescent="0.25">
      <c r="A5" t="s">
        <v>296</v>
      </c>
      <c r="B5">
        <v>12</v>
      </c>
      <c r="C5">
        <v>14</v>
      </c>
      <c r="D5">
        <f>B5*C5</f>
        <v>168</v>
      </c>
      <c r="E5">
        <v>220</v>
      </c>
      <c r="F5">
        <f>E5-D5</f>
        <v>52</v>
      </c>
      <c r="G5">
        <v>220</v>
      </c>
      <c r="H5">
        <v>168</v>
      </c>
      <c r="I5">
        <f>G5-H5</f>
        <v>52</v>
      </c>
    </row>
    <row r="6" spans="1:13" x14ac:dyDescent="0.25">
      <c r="A6" t="s">
        <v>305</v>
      </c>
      <c r="B6">
        <v>12</v>
      </c>
      <c r="C6">
        <v>10</v>
      </c>
      <c r="D6">
        <f>B6*C6</f>
        <v>120</v>
      </c>
      <c r="E6" s="174">
        <v>215</v>
      </c>
      <c r="F6">
        <f>E6-D6</f>
        <v>95</v>
      </c>
      <c r="G6">
        <v>215</v>
      </c>
      <c r="H6">
        <v>120</v>
      </c>
      <c r="I6">
        <v>95</v>
      </c>
    </row>
    <row r="7" spans="1:13" x14ac:dyDescent="0.25">
      <c r="A7" t="s">
        <v>306</v>
      </c>
      <c r="E7">
        <v>175</v>
      </c>
      <c r="F7">
        <v>175</v>
      </c>
      <c r="G7">
        <v>175</v>
      </c>
      <c r="H7">
        <v>35</v>
      </c>
      <c r="I7">
        <v>140</v>
      </c>
    </row>
    <row r="8" spans="1:13" x14ac:dyDescent="0.25">
      <c r="A8" s="175" t="s">
        <v>307</v>
      </c>
      <c r="B8" s="175">
        <v>3.5</v>
      </c>
      <c r="C8" s="175">
        <v>23</v>
      </c>
      <c r="D8" s="175">
        <f>B8*C8</f>
        <v>80.5</v>
      </c>
      <c r="E8" s="175">
        <v>193</v>
      </c>
      <c r="F8" s="175">
        <f>E8-D8</f>
        <v>112.5</v>
      </c>
      <c r="G8" s="175">
        <v>193</v>
      </c>
      <c r="H8" s="175">
        <v>80.5</v>
      </c>
      <c r="I8" s="175">
        <v>112.5</v>
      </c>
    </row>
    <row r="9" spans="1:13" x14ac:dyDescent="0.25">
      <c r="A9" t="s">
        <v>308</v>
      </c>
      <c r="B9">
        <v>15.2</v>
      </c>
      <c r="C9">
        <v>14</v>
      </c>
      <c r="D9" s="175">
        <f>B9*C9</f>
        <v>212.79999999999998</v>
      </c>
      <c r="E9">
        <v>330</v>
      </c>
      <c r="F9">
        <f>E9-D9</f>
        <v>117.20000000000002</v>
      </c>
      <c r="G9">
        <v>330</v>
      </c>
      <c r="H9">
        <f>D9+25.2</f>
        <v>237.99999999999997</v>
      </c>
      <c r="I9">
        <v>92</v>
      </c>
      <c r="J9" t="s">
        <v>309</v>
      </c>
    </row>
    <row r="10" spans="1:13" x14ac:dyDescent="0.25">
      <c r="A10" t="s">
        <v>310</v>
      </c>
      <c r="B10">
        <v>15.2</v>
      </c>
      <c r="C10">
        <v>10</v>
      </c>
      <c r="D10">
        <f>B10*C10</f>
        <v>152</v>
      </c>
      <c r="E10">
        <v>260</v>
      </c>
      <c r="F10">
        <f>E10-D10</f>
        <v>108</v>
      </c>
      <c r="G10">
        <v>260</v>
      </c>
      <c r="H10">
        <f>D10</f>
        <v>152</v>
      </c>
      <c r="I10">
        <f>G10-H10</f>
        <v>108</v>
      </c>
    </row>
    <row r="11" spans="1:13" x14ac:dyDescent="0.25">
      <c r="A11" s="175" t="s">
        <v>311</v>
      </c>
      <c r="B11" s="175">
        <v>9.6999999999999993</v>
      </c>
      <c r="C11" s="175">
        <v>14</v>
      </c>
      <c r="D11" s="175">
        <f>B11*C11</f>
        <v>135.79999999999998</v>
      </c>
      <c r="E11" s="175">
        <v>215</v>
      </c>
      <c r="F11" s="175">
        <f>E11-D11</f>
        <v>79.200000000000017</v>
      </c>
      <c r="G11" s="175">
        <v>215</v>
      </c>
      <c r="H11" s="175">
        <f>D11+23.5</f>
        <v>159.29999999999998</v>
      </c>
      <c r="I11" s="175">
        <f>G11-H11</f>
        <v>55.700000000000017</v>
      </c>
      <c r="J11" s="176" t="s">
        <v>313</v>
      </c>
    </row>
    <row r="12" spans="1:13" x14ac:dyDescent="0.25">
      <c r="A12" s="175" t="s">
        <v>312</v>
      </c>
      <c r="B12" s="175">
        <v>9.6999999999999993</v>
      </c>
      <c r="C12" s="175">
        <v>10</v>
      </c>
      <c r="D12" s="175">
        <f>B12*C12</f>
        <v>97</v>
      </c>
      <c r="E12" s="175">
        <v>192</v>
      </c>
      <c r="F12" s="175">
        <f>E12-D12</f>
        <v>95</v>
      </c>
      <c r="G12" s="175">
        <v>192</v>
      </c>
      <c r="H12" s="175">
        <f>D12</f>
        <v>97</v>
      </c>
      <c r="I12" s="175">
        <f>G12-H12</f>
        <v>95</v>
      </c>
    </row>
    <row r="13" spans="1:13" s="177" customFormat="1" x14ac:dyDescent="0.25"/>
    <row r="15" spans="1:13" x14ac:dyDescent="0.25">
      <c r="L15" t="s">
        <v>326</v>
      </c>
      <c r="M15" t="s">
        <v>327</v>
      </c>
    </row>
    <row r="16" spans="1:13" x14ac:dyDescent="0.25">
      <c r="A16" t="s">
        <v>314</v>
      </c>
      <c r="B16">
        <v>12</v>
      </c>
      <c r="C16">
        <v>10</v>
      </c>
      <c r="D16">
        <f t="shared" ref="D16:D21" si="0">B16*C16</f>
        <v>120</v>
      </c>
      <c r="E16">
        <v>200</v>
      </c>
      <c r="F16">
        <f t="shared" ref="F16:F21" si="1">E16-D16</f>
        <v>80</v>
      </c>
      <c r="G16">
        <v>200</v>
      </c>
      <c r="H16">
        <v>120</v>
      </c>
      <c r="I16">
        <f>G16-H16</f>
        <v>80</v>
      </c>
    </row>
    <row r="17" spans="1:13" x14ac:dyDescent="0.25">
      <c r="A17" t="s">
        <v>315</v>
      </c>
      <c r="B17">
        <v>12</v>
      </c>
      <c r="C17">
        <v>7</v>
      </c>
      <c r="D17">
        <f t="shared" si="0"/>
        <v>84</v>
      </c>
      <c r="E17">
        <v>170</v>
      </c>
      <c r="F17">
        <f t="shared" si="1"/>
        <v>86</v>
      </c>
      <c r="G17">
        <f>E17</f>
        <v>170</v>
      </c>
      <c r="H17">
        <f>D17</f>
        <v>84</v>
      </c>
      <c r="I17">
        <f>G17-H17</f>
        <v>86</v>
      </c>
      <c r="L17">
        <f>(H5+H6+H7+H9+H10+H16+H17+H18)*2</f>
        <v>1978</v>
      </c>
      <c r="M17">
        <f>(H8+H11+H12+H19+H20+H21+H23+H24)*2</f>
        <v>1547.6</v>
      </c>
    </row>
    <row r="18" spans="1:13" x14ac:dyDescent="0.25">
      <c r="A18" t="s">
        <v>316</v>
      </c>
      <c r="B18">
        <v>12</v>
      </c>
      <c r="C18">
        <v>6</v>
      </c>
      <c r="D18">
        <f t="shared" si="0"/>
        <v>72</v>
      </c>
      <c r="E18">
        <v>175</v>
      </c>
      <c r="F18">
        <f t="shared" si="1"/>
        <v>103</v>
      </c>
      <c r="G18">
        <f>E18</f>
        <v>175</v>
      </c>
      <c r="H18">
        <f>D18</f>
        <v>72</v>
      </c>
      <c r="I18">
        <f>G18-H18</f>
        <v>103</v>
      </c>
    </row>
    <row r="19" spans="1:13" x14ac:dyDescent="0.25">
      <c r="A19" s="175" t="s">
        <v>317</v>
      </c>
      <c r="B19" s="175">
        <v>4</v>
      </c>
      <c r="C19" s="175">
        <v>23</v>
      </c>
      <c r="D19" s="175">
        <f t="shared" si="0"/>
        <v>92</v>
      </c>
      <c r="E19" s="175">
        <v>217</v>
      </c>
      <c r="F19" s="175">
        <f t="shared" si="1"/>
        <v>125</v>
      </c>
      <c r="G19" s="175">
        <f>E19</f>
        <v>217</v>
      </c>
      <c r="H19" s="175">
        <f>D19</f>
        <v>92</v>
      </c>
      <c r="I19" s="175">
        <f>G19-H19</f>
        <v>125</v>
      </c>
    </row>
    <row r="20" spans="1:13" x14ac:dyDescent="0.25">
      <c r="A20" s="175" t="s">
        <v>318</v>
      </c>
      <c r="B20" s="175">
        <v>9</v>
      </c>
      <c r="C20" s="175">
        <v>14</v>
      </c>
      <c r="D20" s="175">
        <f t="shared" si="0"/>
        <v>126</v>
      </c>
      <c r="E20" s="175">
        <v>187</v>
      </c>
      <c r="F20" s="175">
        <f t="shared" si="1"/>
        <v>61</v>
      </c>
      <c r="G20" s="175">
        <f t="shared" ref="G20:G21" si="2">E20</f>
        <v>187</v>
      </c>
      <c r="H20" s="175">
        <f t="shared" ref="H20:H21" si="3">D20</f>
        <v>126</v>
      </c>
      <c r="I20" s="175">
        <f t="shared" ref="I20:I21" si="4">G20-H20</f>
        <v>61</v>
      </c>
    </row>
    <row r="21" spans="1:13" x14ac:dyDescent="0.25">
      <c r="A21" s="175" t="s">
        <v>319</v>
      </c>
      <c r="B21" s="175">
        <v>9</v>
      </c>
      <c r="C21" s="175">
        <v>9</v>
      </c>
      <c r="D21" s="175">
        <f t="shared" si="0"/>
        <v>81</v>
      </c>
      <c r="E21" s="175">
        <v>204</v>
      </c>
      <c r="F21" s="175">
        <f t="shared" si="1"/>
        <v>123</v>
      </c>
      <c r="G21" s="175">
        <f t="shared" si="2"/>
        <v>204</v>
      </c>
      <c r="H21" s="175">
        <f t="shared" si="3"/>
        <v>81</v>
      </c>
      <c r="I21" s="175">
        <f t="shared" si="4"/>
        <v>123</v>
      </c>
    </row>
    <row r="23" spans="1:13" x14ac:dyDescent="0.25">
      <c r="A23" s="175" t="s">
        <v>320</v>
      </c>
      <c r="B23" s="175">
        <v>6</v>
      </c>
      <c r="C23" s="175">
        <v>13</v>
      </c>
      <c r="D23" s="175">
        <f>B23*C23</f>
        <v>78</v>
      </c>
      <c r="E23" s="175">
        <v>185</v>
      </c>
      <c r="F23" s="175">
        <f>E23-D23</f>
        <v>107</v>
      </c>
      <c r="G23" s="175">
        <f>E23</f>
        <v>185</v>
      </c>
      <c r="H23" s="175">
        <f>D23</f>
        <v>78</v>
      </c>
      <c r="I23" s="175">
        <f>G23-H23</f>
        <v>107</v>
      </c>
    </row>
    <row r="24" spans="1:13" x14ac:dyDescent="0.25">
      <c r="A24" s="175" t="s">
        <v>321</v>
      </c>
      <c r="B24" s="175">
        <v>6</v>
      </c>
      <c r="C24" s="175">
        <v>10</v>
      </c>
      <c r="D24" s="175">
        <f>B24*C24</f>
        <v>60</v>
      </c>
      <c r="E24" s="175">
        <v>168</v>
      </c>
      <c r="F24" s="175">
        <f>E24-D24</f>
        <v>108</v>
      </c>
      <c r="G24" s="175">
        <f>E24</f>
        <v>168</v>
      </c>
      <c r="H24" s="175">
        <f>D24</f>
        <v>60</v>
      </c>
      <c r="I24" s="175">
        <f>G24-H24</f>
        <v>108</v>
      </c>
    </row>
    <row r="27" spans="1:13" x14ac:dyDescent="0.25">
      <c r="A27" s="179" t="s">
        <v>322</v>
      </c>
      <c r="B27" s="179"/>
      <c r="C27" s="179"/>
      <c r="D27" s="180">
        <f t="shared" ref="D27:I27" si="5">SUM(D5:D26)</f>
        <v>1679.1</v>
      </c>
      <c r="E27" s="179">
        <f t="shared" si="5"/>
        <v>3306</v>
      </c>
      <c r="F27" s="180">
        <f t="shared" si="5"/>
        <v>1626.9</v>
      </c>
      <c r="G27" s="179">
        <f t="shared" si="5"/>
        <v>3306</v>
      </c>
      <c r="H27" s="180">
        <f t="shared" si="5"/>
        <v>1762.8</v>
      </c>
      <c r="I27" s="180">
        <f t="shared" si="5"/>
        <v>1543.2</v>
      </c>
    </row>
    <row r="28" spans="1:13" x14ac:dyDescent="0.25">
      <c r="A28" s="178" t="s">
        <v>323</v>
      </c>
      <c r="D28" s="180">
        <f t="shared" ref="D28:I28" si="6">2*D27</f>
        <v>3358.2</v>
      </c>
      <c r="E28" s="180">
        <f t="shared" si="6"/>
        <v>6612</v>
      </c>
      <c r="F28" s="180">
        <f t="shared" si="6"/>
        <v>3253.8</v>
      </c>
      <c r="G28" s="180">
        <f t="shared" si="6"/>
        <v>6612</v>
      </c>
      <c r="H28" s="180">
        <f t="shared" si="6"/>
        <v>3525.6</v>
      </c>
      <c r="I28" s="180">
        <f t="shared" si="6"/>
        <v>3086.4</v>
      </c>
    </row>
    <row r="29" spans="1:13" x14ac:dyDescent="0.25">
      <c r="A29" s="178" t="s">
        <v>324</v>
      </c>
    </row>
    <row r="30" spans="1:13" x14ac:dyDescent="0.25">
      <c r="A30" t="s">
        <v>325</v>
      </c>
    </row>
    <row r="31" spans="1:13" x14ac:dyDescent="0.25">
      <c r="A31" t="s">
        <v>328</v>
      </c>
    </row>
  </sheetData>
  <mergeCells count="6">
    <mergeCell ref="I3:I4"/>
    <mergeCell ref="C3:C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ЖД ПАРГОЛОВО</vt:lpstr>
      <vt:lpstr>Лист3</vt:lpstr>
      <vt:lpstr>'ЖД ПАРГОЛОВО'!Заголовки_для_печати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Сергиенко Елена Анатольевна</cp:lastModifiedBy>
  <cp:lastPrinted>2015-05-13T10:13:58Z</cp:lastPrinted>
  <dcterms:created xsi:type="dcterms:W3CDTF">2015-04-20T12:17:38Z</dcterms:created>
  <dcterms:modified xsi:type="dcterms:W3CDTF">2017-01-12T09:00:31Z</dcterms:modified>
</cp:coreProperties>
</file>